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kewheeler/Downloads/"/>
    </mc:Choice>
  </mc:AlternateContent>
  <xr:revisionPtr revIDLastSave="0" documentId="8_{64DDF7D9-5F3F-7743-9C47-CE3E5AF8F8CD}" xr6:coauthVersionLast="47" xr6:coauthVersionMax="47" xr10:uidLastSave="{00000000-0000-0000-0000-000000000000}"/>
  <bookViews>
    <workbookView xWindow="28800" yWindow="0" windowWidth="23980" windowHeight="2160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3" l="1"/>
  <c r="E89" i="3"/>
  <c r="C89" i="3"/>
  <c r="D88" i="3"/>
  <c r="E88" i="3"/>
  <c r="C88" i="3"/>
  <c r="D87" i="3"/>
  <c r="E87" i="3"/>
  <c r="C87" i="3"/>
  <c r="C31" i="3"/>
  <c r="C17" i="3"/>
  <c r="D17" i="3"/>
  <c r="D61" i="3"/>
  <c r="C61" i="3"/>
  <c r="D78" i="3"/>
  <c r="E78" i="3"/>
  <c r="C78" i="3"/>
  <c r="D84" i="3"/>
  <c r="E84" i="3"/>
  <c r="C84" i="3"/>
  <c r="D83" i="3"/>
  <c r="E83" i="3"/>
  <c r="C83" i="3"/>
  <c r="C81" i="3"/>
  <c r="D81" i="3"/>
  <c r="E81" i="3"/>
  <c r="C82" i="3"/>
  <c r="D82" i="3"/>
  <c r="E82" i="3"/>
  <c r="D80" i="3"/>
  <c r="E80" i="3"/>
  <c r="C80" i="3"/>
  <c r="E17" i="3"/>
  <c r="D77" i="3"/>
  <c r="E77" i="3"/>
  <c r="C77" i="3"/>
  <c r="C74" i="3"/>
  <c r="D74" i="3"/>
  <c r="D73" i="3"/>
  <c r="C73" i="3"/>
  <c r="C72" i="3"/>
  <c r="D72" i="3"/>
  <c r="D71" i="3"/>
  <c r="C71" i="3"/>
  <c r="D70" i="3"/>
  <c r="C70" i="3"/>
  <c r="C69" i="3"/>
  <c r="D69" i="3"/>
  <c r="D68" i="3"/>
  <c r="C68" i="3"/>
  <c r="D67" i="3"/>
  <c r="C67" i="3"/>
  <c r="C65" i="3"/>
  <c r="C64" i="3"/>
  <c r="D64" i="3"/>
  <c r="D65" i="3"/>
  <c r="D63" i="3"/>
  <c r="C63" i="3"/>
  <c r="C59" i="3"/>
  <c r="D59" i="3"/>
  <c r="C60" i="3"/>
  <c r="D60" i="3"/>
  <c r="D58" i="3"/>
  <c r="C58" i="3"/>
  <c r="D51" i="3"/>
  <c r="E51" i="3"/>
  <c r="C51" i="3"/>
  <c r="C41" i="3"/>
  <c r="C45" i="3"/>
  <c r="C46" i="3" s="1"/>
  <c r="D45" i="3"/>
  <c r="D46" i="3" s="1"/>
  <c r="E45" i="3"/>
  <c r="E46" i="3" s="1"/>
  <c r="D43" i="3"/>
  <c r="D42" i="3" s="1"/>
  <c r="E43" i="3"/>
  <c r="E42" i="3" s="1"/>
  <c r="C43" i="3"/>
  <c r="C42" i="3" s="1"/>
  <c r="E40" i="3"/>
  <c r="E41" i="3"/>
  <c r="D41" i="3"/>
  <c r="D40" i="3"/>
  <c r="C40" i="3"/>
  <c r="E31" i="3"/>
  <c r="E30" i="3" s="1"/>
  <c r="C27" i="3"/>
  <c r="D27" i="3"/>
  <c r="E27" i="3"/>
  <c r="D26" i="3"/>
  <c r="E26" i="3"/>
  <c r="C26" i="3"/>
  <c r="C25" i="3"/>
  <c r="D25" i="3"/>
  <c r="E25" i="3"/>
  <c r="E21" i="3"/>
  <c r="E48" i="3" s="1"/>
  <c r="E19" i="3"/>
  <c r="D14" i="3"/>
  <c r="E14" i="3"/>
  <c r="E13" i="3" s="1"/>
  <c r="C14" i="3"/>
  <c r="E11" i="3"/>
  <c r="D10" i="3"/>
  <c r="E10" i="3"/>
  <c r="C10" i="3"/>
  <c r="D9" i="3"/>
  <c r="E9" i="3"/>
  <c r="C9" i="3"/>
  <c r="D8" i="3"/>
  <c r="E8" i="3"/>
  <c r="C8" i="3"/>
  <c r="E49" i="3"/>
  <c r="E47" i="3"/>
  <c r="E37" i="3"/>
  <c r="D36" i="3"/>
  <c r="E36" i="3"/>
  <c r="C36" i="3"/>
  <c r="E35" i="3"/>
  <c r="E34" i="3"/>
  <c r="E22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E50" i="3" l="1"/>
  <c r="E28" i="3"/>
  <c r="E12" i="3"/>
  <c r="E20" i="3"/>
  <c r="E29" i="3"/>
  <c r="E18" i="3"/>
  <c r="D68" i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C13" i="1" l="1"/>
  <c r="D11" i="3"/>
  <c r="D12" i="3" s="1"/>
  <c r="D35" i="3"/>
  <c r="D34" i="3"/>
  <c r="D13" i="3"/>
  <c r="B13" i="1"/>
  <c r="C34" i="3"/>
  <c r="C35" i="3"/>
  <c r="C11" i="3"/>
  <c r="C12" i="3" s="1"/>
  <c r="C13" i="3"/>
  <c r="C18" i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B18" i="1" l="1"/>
  <c r="C20" i="1"/>
  <c r="C22" i="1" s="1"/>
  <c r="D19" i="3"/>
  <c r="B20" i="1"/>
  <c r="B22" i="1" s="1"/>
  <c r="C19" i="3"/>
  <c r="A24" i="3"/>
  <c r="A25" i="3" s="1"/>
  <c r="A26" i="3" s="1"/>
  <c r="A27" i="3" s="1"/>
  <c r="A28" i="3" s="1"/>
  <c r="A29" i="3" s="1"/>
  <c r="A30" i="3" s="1"/>
  <c r="A33" i="3" l="1"/>
  <c r="D18" i="3"/>
  <c r="D50" i="3"/>
  <c r="C76" i="1"/>
  <c r="C91" i="1" s="1"/>
  <c r="D37" i="3"/>
  <c r="D22" i="3"/>
  <c r="D49" i="3"/>
  <c r="D47" i="3"/>
  <c r="D21" i="3"/>
  <c r="C18" i="3"/>
  <c r="C50" i="3"/>
  <c r="B76" i="1"/>
  <c r="B91" i="1" s="1"/>
  <c r="C37" i="3"/>
  <c r="C49" i="3"/>
  <c r="C21" i="3"/>
  <c r="C22" i="3"/>
  <c r="C47" i="3"/>
  <c r="A39" i="3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  <c r="C109" i="1" l="1"/>
  <c r="D31" i="3"/>
  <c r="D30" i="3" s="1"/>
  <c r="D28" i="3"/>
  <c r="D20" i="3"/>
  <c r="D29" i="3"/>
  <c r="D48" i="3"/>
  <c r="B109" i="1"/>
  <c r="C30" i="3"/>
  <c r="C29" i="3"/>
  <c r="C28" i="3"/>
  <c r="C48" i="3"/>
  <c r="C20" i="3"/>
</calcChain>
</file>

<file path=xl/sharedStrings.xml><?xml version="1.0" encoding="utf-8"?>
<sst xmlns="http://schemas.openxmlformats.org/spreadsheetml/2006/main" count="232" uniqueCount="175">
  <si>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</si>
  <si>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</si>
  <si>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</si>
  <si>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</si>
  <si>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</si>
  <si>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</si>
  <si>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</si>
  <si>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</si>
  <si>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</si>
  <si>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</si>
  <si>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</si>
  <si>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</si>
  <si>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</si>
  <si>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</si>
  <si>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</si>
  <si>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</si>
  <si>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</si>
  <si>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</si>
  <si>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</si>
  <si>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</si>
  <si>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</si>
  <si>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</si>
  <si>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</si>
  <si>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</si>
  <si>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</si>
  <si>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</si>
  <si>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</si>
  <si>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</si>
  <si>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</si>
  <si>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</si>
  <si>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</si>
  <si>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</si>
  <si>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</si>
  <si>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</si>
  <si>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</si>
  <si>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</si>
  <si>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</si>
  <si>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</si>
  <si>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</si>
  <si>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</si>
  <si>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</si>
  <si>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</si>
  <si>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</si>
  <si>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</si>
  <si>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</si>
  <si>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</si>
  <si>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</si>
  <si>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</si>
  <si>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</si>
  <si>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</si>
  <si>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</si>
  <si>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</si>
  <si>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</si>
  <si>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</si>
  <si>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</si>
  <si>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</si>
  <si>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</si>
  <si>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</si>
  <si>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</si>
  <si>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</si>
  <si>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</si>
  <si>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</si>
  <si>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</si>
  <si>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</si>
  <si>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</si>
  <si>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</si>
  <si>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</si>
  <si>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</si>
  <si>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</si>
  <si>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</si>
  <si>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</si>
  <si>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</si>
  <si>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</si>
  <si>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</si>
  <si>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</si>
  <si>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</si>
  <si>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</si>
  <si>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</si>
  <si>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</si>
  <si>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</si>
  <si>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</si>
  <si>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</si>
  <si>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</si>
  <si>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</si>
  <si>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</si>
  <si>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</si>
  <si>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</si>
  <si>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</si>
  <si>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</si>
  <si>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</si>
  <si>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</si>
  <si>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</si>
  <si>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</si>
  <si>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</si>
  <si>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</si>
  <si>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</si>
  <si>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</si>
  <si>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</si>
  <si>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</si>
  <si>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</si>
  <si>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</si>
  <si>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</si>
  <si>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</si>
  <si>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</si>
  <si>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</si>
  <si>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</si>
  <si>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</si>
  <si>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</si>
  <si>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</si>
  <si>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</si>
  <si>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</si>
  <si>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</si>
  <si>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</si>
  <si>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</si>
  <si>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</si>
  <si>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</si>
  <si>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</si>
  <si>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</si>
  <si>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</si>
  <si>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</si>
  <si>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</si>
  <si>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</si>
  <si>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</si>
  <si>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</si>
  <si>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</si>
  <si>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</si>
  <si>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</si>
  <si>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</si>
  <si>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</si>
  <si>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</si>
  <si>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</si>
  <si>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</si>
  <si>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</si>
  <si>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</si>
  <si>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</si>
  <si>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</si>
  <si>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</si>
  <si>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</si>
  <si>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</si>
  <si>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</si>
  <si>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</si>
  <si>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</si>
  <si>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</si>
  <si>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</si>
  <si>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</si>
  <si>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</si>
  <si>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</si>
  <si>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</si>
  <si>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</si>
  <si>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</si>
  <si>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Current Assets / Daily Operational Expenses where Daily Operational Expenses = (Annual Operating Expenses - Noncash Charges) / 365</t>
  </si>
  <si>
    <t>Inventory Days + Receivable days - payable days</t>
  </si>
  <si>
    <t>Inventory + Receivables  - payables or Current assets - current liabilities</t>
  </si>
  <si>
    <t>WC/Sales revenue</t>
  </si>
  <si>
    <t>Inventory / COGS x 365</t>
  </si>
  <si>
    <t>Accounts Payable / COGS x 365</t>
  </si>
  <si>
    <t>Accounts Receivable / Total Net Sales x 365</t>
  </si>
  <si>
    <t>Gross profit/revenue</t>
  </si>
  <si>
    <t>Operating Income + Depreciation &amp; Amortization</t>
  </si>
  <si>
    <t>Operating Income</t>
  </si>
  <si>
    <t>Include only term debt instead of total liabilities, since differed revenue is not an actual form of capital</t>
  </si>
  <si>
    <t>EBIT / (Interest + Debt repayment) debt repayment can be found in cash flow</t>
  </si>
  <si>
    <t>Cash from operations + Capex + Proceeds from issuance of term debt</t>
  </si>
  <si>
    <t>Note that the share count is in absolute number and income statement is in millions, therefore divide the shares by 1000</t>
  </si>
  <si>
    <t>Link diluted EPS</t>
  </si>
  <si>
    <t>Total shareholder equity in balance sheet/ Diluted number of Shares (note that the share count is in absolute number and income statement is in millions, therefore divide the shares by 1000)</t>
  </si>
  <si>
    <t>Share price/BV per share</t>
  </si>
  <si>
    <t>Dividend Per Share / Share Price</t>
  </si>
  <si>
    <t>DPS/EPS</t>
  </si>
  <si>
    <t>Dividend Paid in cash flow / Diluted number of Shares (note that the share count is in absolute number and income statement is in millions, therefore divide the shares by 1000)</t>
  </si>
  <si>
    <t>EBIT / Capital Employed where Capital employed = Total shareholder equity + Term debt (under non-current liability)</t>
  </si>
  <si>
    <t>Divide share count by 1000</t>
  </si>
  <si>
    <t>Please calculate the  additional rations mentioned in rows 8 to 24 in Instructions sheet</t>
  </si>
  <si>
    <t>Feedback</t>
  </si>
  <si>
    <t>Net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</si>
</sst>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43" fontId="0" fillId="0" borderId="0" xfId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0" fontId="0" fillId="0" borderId="0" xfId="3" applyNumberFormat="1" applyFont="1"/>
    <xf numFmtId="0" fontId="0" fillId="0" borderId="0" xfId="0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 indent="1"/>
    </xf>
    <xf numFmtId="164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36" sqref="A36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topLeftCell="A30" zoomScaleNormal="100" workbookViewId="0">
      <selection activeCell="B22" sqref="B2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5" t="s">
        <v>1</v>
      </c>
      <c r="B2" s="25"/>
      <c r="C2" s="25"/>
      <c r="D2" s="25"/>
    </row>
    <row r="3" spans="1:10" x14ac:dyDescent="0.2">
      <c r="B3" s="24" t="s">
        <v>23</v>
      </c>
      <c r="C3" s="24"/>
      <c r="D3" s="24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G6" s="12"/>
      <c r="H6" s="12"/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>+C6+C7</f>
        <v>365817</v>
      </c>
      <c r="D8" s="13">
        <f>+D6+D7</f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>+C10+C11</f>
        <v>212981</v>
      </c>
      <c r="D12" s="13">
        <f>+D10+D11</f>
        <v>169559</v>
      </c>
    </row>
    <row r="13" spans="1:10" x14ac:dyDescent="0.2">
      <c r="A13" s="8" t="s">
        <v>9</v>
      </c>
      <c r="B13" s="13">
        <f>+B8-B12</f>
        <v>170782</v>
      </c>
      <c r="C13" s="13">
        <f>+C8-C12</f>
        <v>152836</v>
      </c>
      <c r="D13" s="13">
        <f>+D8-D12</f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>+C15+C16</f>
        <v>43887</v>
      </c>
      <c r="D17" s="13">
        <f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>+C13-C17</f>
        <v>108949</v>
      </c>
      <c r="D18" s="13">
        <f>+D13-D17</f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>+C18+C19</f>
        <v>109207</v>
      </c>
      <c r="D20" s="13">
        <f>+D18+D19</f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>+C20-C21</f>
        <v>94680</v>
      </c>
      <c r="D22" s="14">
        <f>+D20-D21</f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5" t="s">
        <v>24</v>
      </c>
      <c r="B31" s="25"/>
      <c r="C31" s="25"/>
      <c r="D31" s="25"/>
    </row>
    <row r="32" spans="1:4" x14ac:dyDescent="0.2">
      <c r="B32" s="24" t="s">
        <v>142</v>
      </c>
      <c r="C32" s="24"/>
      <c r="D32" s="24"/>
    </row>
    <row r="33" spans="1:11" x14ac:dyDescent="0.2">
      <c r="B33" s="7">
        <f>+B4</f>
        <v>2022</v>
      </c>
      <c r="C33" s="7">
        <f>+C4</f>
        <v>2021</v>
      </c>
      <c r="D33" s="7">
        <f>+D4</f>
        <v>2020</v>
      </c>
    </row>
    <row r="35" spans="1:11" x14ac:dyDescent="0.2">
      <c r="A35" t="s">
        <v>25</v>
      </c>
    </row>
    <row r="36" spans="1:11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11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11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11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11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11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11" x14ac:dyDescent="0.2">
      <c r="A42" s="8" t="s">
        <v>31</v>
      </c>
      <c r="B42" s="13">
        <f>+SUM(B36:B41)</f>
        <v>135405</v>
      </c>
      <c r="C42" s="13">
        <f>+SUM(C36:C41)</f>
        <v>134836</v>
      </c>
      <c r="D42" s="13">
        <f>+SUM(D36:D41)</f>
        <v>143713</v>
      </c>
      <c r="G42" s="31"/>
      <c r="K42" s="31"/>
    </row>
    <row r="43" spans="1:11" x14ac:dyDescent="0.2">
      <c r="A43" t="s">
        <v>48</v>
      </c>
      <c r="B43" s="12"/>
      <c r="C43" s="12"/>
      <c r="D43" s="12"/>
    </row>
    <row r="44" spans="1:11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11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11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11" x14ac:dyDescent="0.2">
      <c r="A47" s="8" t="s">
        <v>50</v>
      </c>
      <c r="B47" s="13">
        <f>+SUM(B44:B46)</f>
        <v>217350</v>
      </c>
      <c r="C47" s="13">
        <f>+SUM(C44:C46)</f>
        <v>216166</v>
      </c>
      <c r="D47" s="13">
        <f>+SUM(D44:D46)</f>
        <v>180175</v>
      </c>
    </row>
    <row r="48" spans="1:11" ht="16" thickBot="1" x14ac:dyDescent="0.25">
      <c r="A48" s="9" t="s">
        <v>33</v>
      </c>
      <c r="B48" s="14">
        <f>+B42+B47</f>
        <v>352755</v>
      </c>
      <c r="C48" s="14">
        <f>+C42+C47</f>
        <v>351002</v>
      </c>
      <c r="D48" s="14">
        <f>+D42+D47</f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>+SUM(C51:C55)</f>
        <v>125481</v>
      </c>
      <c r="D56" s="13">
        <f>+SUM(D51:D55)</f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>+C59+C60</f>
        <v>162431</v>
      </c>
      <c r="D61" s="21">
        <f>+D59+D60</f>
        <v>153157</v>
      </c>
    </row>
    <row r="62" spans="1:4" x14ac:dyDescent="0.2">
      <c r="A62" s="8" t="s">
        <v>41</v>
      </c>
      <c r="B62" s="13">
        <f>+B56+B61</f>
        <v>302083</v>
      </c>
      <c r="C62" s="13">
        <f>+C56+C61</f>
        <v>287912</v>
      </c>
      <c r="D62" s="13">
        <f>+D56+D61</f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>+SUM(C65:C67)</f>
        <v>63090</v>
      </c>
      <c r="D68" s="13">
        <f>+SUM(D65:D67)</f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>+C68+C62</f>
        <v>351002</v>
      </c>
      <c r="D69" s="14">
        <f>+D68+D62</f>
        <v>323888</v>
      </c>
    </row>
    <row r="70" spans="1:4" ht="16" thickTop="1" x14ac:dyDescent="0.2"/>
    <row r="71" spans="1:4" x14ac:dyDescent="0.2">
      <c r="A71" s="25" t="s">
        <v>55</v>
      </c>
      <c r="B71" s="25"/>
      <c r="C71" s="25"/>
      <c r="D71" s="25"/>
    </row>
    <row r="72" spans="1:4" x14ac:dyDescent="0.2">
      <c r="B72" s="24" t="s">
        <v>23</v>
      </c>
      <c r="C72" s="24"/>
      <c r="D72" s="24"/>
    </row>
    <row r="73" spans="1:4" x14ac:dyDescent="0.2">
      <c r="B73" s="7">
        <f>+B33</f>
        <v>2022</v>
      </c>
      <c r="C73" s="7">
        <f>+C33</f>
        <v>2021</v>
      </c>
      <c r="D73" s="7">
        <f>+D33</f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>+C22</f>
        <v>94680</v>
      </c>
      <c r="D76" s="12">
        <f>+D22</f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>+SUM(C76:C90)</f>
        <v>104038</v>
      </c>
      <c r="D91" s="13">
        <f>+SUM(D76:D90)</f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>+SUM(C93:C98)</f>
        <v>-14545</v>
      </c>
      <c r="D99" s="13">
        <f>+SUM(D93:D98)</f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>+SUM(C101:C107)</f>
        <v>-93353</v>
      </c>
      <c r="D108" s="13">
        <f>+SUM(D101:D107)</f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>+C91+C99+C108</f>
        <v>-3860</v>
      </c>
      <c r="D109" s="13">
        <f>+D91+D99+D108</f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9"/>
  <sheetViews>
    <sheetView tabSelected="1" topLeftCell="A63" workbookViewId="0">
      <selection activeCell="D97" sqref="D97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6.1640625" bestFit="1" customWidth="1"/>
    <col min="6" max="6" width="35.1640625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 t="s">
        <v>173</v>
      </c>
      <c r="G1" s="19"/>
      <c r="H1" s="19"/>
      <c r="I1" s="19"/>
      <c r="J1" s="19"/>
    </row>
    <row r="2" spans="1:10" x14ac:dyDescent="0.2">
      <c r="C2" s="24" t="s">
        <v>23</v>
      </c>
      <c r="D2" s="24"/>
      <c r="E2" s="24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SUM('Financial Statements'!B36:B38)/'Financial Statements'!B56</f>
        <v>0.49673338442155579</v>
      </c>
      <c r="D6">
        <f>SUM('Financial Statements'!C36:C38)/'Financial Statements'!C56</f>
        <v>0.70860927152317876</v>
      </c>
      <c r="E6">
        <f>SUM('Financial Statements'!D36:D38)/'Financial Statements'!D56</f>
        <v>1.0158550933657204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>
        <f>'Financial Statements'!B42/(('Financial Statements'!B17)/365)</f>
        <v>962.56354075372474</v>
      </c>
      <c r="D8">
        <f>'Financial Statements'!C42/(('Financial Statements'!C17)/365)</f>
        <v>1121.4058832911796</v>
      </c>
      <c r="E8">
        <f>'Financial Statements'!D42/(('Financial Statements'!D17)/365)</f>
        <v>1356.5543860556534</v>
      </c>
      <c r="F8" t="s">
        <v>150</v>
      </c>
    </row>
    <row r="9" spans="1:10" x14ac:dyDescent="0.2">
      <c r="A9" s="18">
        <f t="shared" si="0"/>
        <v>1.5000000000000004</v>
      </c>
      <c r="B9" s="1" t="s">
        <v>104</v>
      </c>
      <c r="C9">
        <f>'Financial Statements'!B39/'Financial Statements'!B12 * 365</f>
        <v>8.0756980666171607</v>
      </c>
      <c r="D9">
        <f>'Financial Statements'!C39/'Financial Statements'!C12 * 365</f>
        <v>11.27659274770989</v>
      </c>
      <c r="E9">
        <f>'Financial Statements'!D39/'Financial Statements'!D12 * 365</f>
        <v>8.7418833562358831</v>
      </c>
      <c r="F9" t="s">
        <v>154</v>
      </c>
    </row>
    <row r="10" spans="1:10" x14ac:dyDescent="0.2">
      <c r="A10" s="18">
        <f t="shared" si="0"/>
        <v>1.6000000000000005</v>
      </c>
      <c r="B10" s="1" t="s">
        <v>105</v>
      </c>
      <c r="C10">
        <f>'Financial Statements'!B51/'Financial Statements'!B12 * 365</f>
        <v>104.68527730310539</v>
      </c>
      <c r="D10">
        <f>'Financial Statements'!C51/'Financial Statements'!C12 * 365</f>
        <v>93.851071222315596</v>
      </c>
      <c r="E10">
        <f>'Financial Statements'!D51/'Financial Statements'!D12 * 365</f>
        <v>91.048189715674198</v>
      </c>
      <c r="F10" t="s">
        <v>155</v>
      </c>
    </row>
    <row r="11" spans="1:10" x14ac:dyDescent="0.2">
      <c r="A11" s="18">
        <f t="shared" si="0"/>
        <v>1.7000000000000006</v>
      </c>
      <c r="B11" s="1" t="s">
        <v>106</v>
      </c>
      <c r="C11">
        <f>'Financial Statements'!B38/'Financial Statements'!B8 * 365</f>
        <v>26.087825363656648</v>
      </c>
      <c r="D11">
        <f>'Financial Statements'!C38/'Financial Statements'!C8 * 365</f>
        <v>26.219311841713207</v>
      </c>
      <c r="E11">
        <f>'Financial Statements'!D38/'Financial Statements'!D8 * 365</f>
        <v>21.433437152796749</v>
      </c>
      <c r="F11" t="s">
        <v>156</v>
      </c>
    </row>
    <row r="12" spans="1:10" x14ac:dyDescent="0.2">
      <c r="A12" s="18">
        <f t="shared" si="0"/>
        <v>1.8000000000000007</v>
      </c>
      <c r="B12" s="1" t="s">
        <v>107</v>
      </c>
      <c r="C12">
        <f>C9+C11-C10</f>
        <v>-70.521753872831582</v>
      </c>
      <c r="D12">
        <f t="shared" ref="D12:E12" si="1">D9+D11-D10</f>
        <v>-56.355166632892498</v>
      </c>
      <c r="E12">
        <f t="shared" si="1"/>
        <v>-60.872869206641568</v>
      </c>
      <c r="F12" t="s">
        <v>151</v>
      </c>
    </row>
    <row r="13" spans="1:10" x14ac:dyDescent="0.2">
      <c r="A13" s="18">
        <f t="shared" si="0"/>
        <v>1.9000000000000008</v>
      </c>
      <c r="B13" s="1" t="s">
        <v>108</v>
      </c>
      <c r="C13">
        <f>C14/'Financial Statements'!B8</f>
        <v>-4.711052727678481E-2</v>
      </c>
      <c r="D13">
        <f>D14/'Financial Statements'!C8</f>
        <v>2.557289573748623E-2</v>
      </c>
      <c r="E13">
        <f>E14/'Financial Statements'!D8</f>
        <v>0.13959528623208203</v>
      </c>
      <c r="F13" t="s">
        <v>153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F14" t="s">
        <v>152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6" x14ac:dyDescent="0.2">
      <c r="A17" s="18">
        <f>+A16+0.1</f>
        <v>2.1</v>
      </c>
      <c r="B17" s="1" t="s">
        <v>9</v>
      </c>
      <c r="C17">
        <f>'Financial Statements'!B13/'Financial Statements'!B8</f>
        <v>0.43309630561360085</v>
      </c>
      <c r="D17">
        <f>'Financial Statements'!C13/'Financial Statements'!C8</f>
        <v>0.41779359625167778</v>
      </c>
      <c r="E17">
        <f>'Financial Statements'!D22/'Financial Statements'!D8</f>
        <v>0.20913611278072236</v>
      </c>
      <c r="F17" t="s">
        <v>157</v>
      </c>
    </row>
    <row r="18" spans="1:6" x14ac:dyDescent="0.2">
      <c r="A18" s="18">
        <f>+A17+0.1</f>
        <v>2.2000000000000002</v>
      </c>
      <c r="B18" s="1" t="s">
        <v>111</v>
      </c>
      <c r="C18">
        <f>C19/'Financial Statements'!B8</f>
        <v>0.3310467428130896</v>
      </c>
      <c r="D18">
        <f>D19/'Financial Statements'!C8</f>
        <v>0.32866979938056462</v>
      </c>
      <c r="E18">
        <f>E19/'Financial Statements'!D8</f>
        <v>0.2817478097736007</v>
      </c>
    </row>
    <row r="19" spans="1:6" x14ac:dyDescent="0.2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  <c r="F19" t="s">
        <v>158</v>
      </c>
    </row>
    <row r="20" spans="1:6" x14ac:dyDescent="0.2">
      <c r="A20" s="18">
        <f>+A18+0.1</f>
        <v>2.3000000000000003</v>
      </c>
      <c r="B20" s="1" t="s">
        <v>113</v>
      </c>
      <c r="C20">
        <f>C21/'Financial Statements'!B8</f>
        <v>0.12288754539368242</v>
      </c>
      <c r="D20">
        <f>D21/'Financial Statements'!C8</f>
        <v>0.13884811258088062</v>
      </c>
      <c r="E20">
        <f>E21/'Financial Statements'!D8</f>
        <v>6.8276779046682334E-2</v>
      </c>
    </row>
    <row r="21" spans="1:6" x14ac:dyDescent="0.2">
      <c r="A21" s="18"/>
      <c r="B21" s="3" t="s">
        <v>114</v>
      </c>
      <c r="C21">
        <f>'Financial Statements'!B22-'Financial Statements'!B17</f>
        <v>48458</v>
      </c>
      <c r="D21">
        <f>'Financial Statements'!C22-'Financial Statements'!C17</f>
        <v>50793</v>
      </c>
      <c r="E21">
        <f>'Financial Statements'!D22-'Financial Statements'!D17</f>
        <v>18743</v>
      </c>
      <c r="F21" t="s">
        <v>159</v>
      </c>
    </row>
    <row r="22" spans="1:6" x14ac:dyDescent="0.2">
      <c r="A22" s="18">
        <f>+A20+0.1</f>
        <v>2.4000000000000004</v>
      </c>
      <c r="B22" s="1" t="s">
        <v>115</v>
      </c>
      <c r="C22">
        <f>('Financial Statements'!B22/'Financial Statements'!B8)*100</f>
        <v>25.309640705199733</v>
      </c>
      <c r="D22">
        <f>('Financial Statements'!C22/'Financial Statements'!C8)*100</f>
        <v>25.881793355694239</v>
      </c>
      <c r="E22">
        <f>('Financial Statements'!D22/'Financial Statements'!D8)*100</f>
        <v>20.913611278072235</v>
      </c>
    </row>
    <row r="23" spans="1:6" x14ac:dyDescent="0.2">
      <c r="A23" s="18"/>
    </row>
    <row r="24" spans="1:6" x14ac:dyDescent="0.2">
      <c r="A24" s="18">
        <f>+A16+1</f>
        <v>3</v>
      </c>
      <c r="B24" s="7" t="s">
        <v>116</v>
      </c>
    </row>
    <row r="25" spans="1:6" x14ac:dyDescent="0.2">
      <c r="A25" s="18">
        <f t="shared" ref="A25:A30" si="2">+A24+0.1</f>
        <v>3.1</v>
      </c>
      <c r="B25" s="1" t="s">
        <v>117</v>
      </c>
      <c r="C25" s="23">
        <f>'Financial Statements'!B59/'Financial Statements'!B68</f>
        <v>1.9529325860435744</v>
      </c>
      <c r="D25" s="23">
        <f>'Financial Statements'!C59/'Financial Statements'!C68</f>
        <v>1.729370740212395</v>
      </c>
      <c r="E25" s="23">
        <f>'Financial Statements'!D59/'Financial Statements'!D68</f>
        <v>1.5100782075024104</v>
      </c>
      <c r="F25" t="s">
        <v>160</v>
      </c>
    </row>
    <row r="26" spans="1:6" x14ac:dyDescent="0.2">
      <c r="A26" s="18">
        <f t="shared" si="2"/>
        <v>3.2</v>
      </c>
      <c r="B26" s="1" t="s">
        <v>118</v>
      </c>
      <c r="C26" s="23">
        <f>'Financial Statements'!B59/'Financial Statements'!B48</f>
        <v>0.28053181386514719</v>
      </c>
      <c r="D26" s="23">
        <f>'Financial Statements'!C59/'Financial Statements'!C48</f>
        <v>0.31084153366647482</v>
      </c>
      <c r="E26" s="23">
        <f>'Financial Statements'!D59/'Financial Statements'!D48</f>
        <v>0.30463308304105124</v>
      </c>
      <c r="F26" t="s">
        <v>160</v>
      </c>
    </row>
    <row r="27" spans="1:6" x14ac:dyDescent="0.2">
      <c r="A27" s="18">
        <f t="shared" si="2"/>
        <v>3.3000000000000003</v>
      </c>
      <c r="B27" s="1" t="s">
        <v>119</v>
      </c>
      <c r="C27" s="23">
        <f>'Financial Statements'!B59/'Financial Statements'!B69</f>
        <v>0.28053181386514719</v>
      </c>
      <c r="D27" s="23">
        <f>'Financial Statements'!C59/'Financial Statements'!C69</f>
        <v>0.31084153366647482</v>
      </c>
      <c r="E27" s="23">
        <f>'Financial Statements'!D59/'Financial Statements'!D69</f>
        <v>0.30463308304105124</v>
      </c>
      <c r="F27" t="s">
        <v>160</v>
      </c>
    </row>
    <row r="28" spans="1:6" x14ac:dyDescent="0.2">
      <c r="A28" s="18">
        <f t="shared" si="2"/>
        <v>3.4000000000000004</v>
      </c>
      <c r="B28" s="1" t="s">
        <v>120</v>
      </c>
      <c r="C28" s="23">
        <f>C21/'Financial Statements'!B114</f>
        <v>16.913787085514834</v>
      </c>
      <c r="D28" s="23">
        <f>D21/'Financial Statements'!C114</f>
        <v>18.903237811685894</v>
      </c>
      <c r="E28" s="23">
        <f>E21/'Financial Statements'!D114</f>
        <v>6.2435043304463687</v>
      </c>
    </row>
    <row r="29" spans="1:6" x14ac:dyDescent="0.2">
      <c r="A29" s="18">
        <f t="shared" si="2"/>
        <v>3.5000000000000004</v>
      </c>
      <c r="B29" s="1" t="s">
        <v>121</v>
      </c>
      <c r="C29" s="23">
        <f>C21/('Financial Statements'!B114+'Financial Statements'!B105)</f>
        <v>-7.2563641808924828</v>
      </c>
      <c r="D29" s="23">
        <f>D21/('Financial Statements'!C114+'Financial Statements'!C105)</f>
        <v>-8.377535873330034</v>
      </c>
      <c r="E29" s="23">
        <f>E21/('Financial Statements'!D114+'Financial Statements'!D105)</f>
        <v>-1.9469201204944426</v>
      </c>
      <c r="F29" t="s">
        <v>161</v>
      </c>
    </row>
    <row r="30" spans="1:6" x14ac:dyDescent="0.2">
      <c r="A30" s="18">
        <f t="shared" si="2"/>
        <v>3.6000000000000005</v>
      </c>
      <c r="B30" s="1" t="s">
        <v>122</v>
      </c>
      <c r="C30" s="23">
        <f>(C31)/('Financial Statements'!B27/1000)</f>
        <v>6.491258027660769</v>
      </c>
      <c r="D30" s="23">
        <f>(D31)/('Financial Statements'!C27/1000)</f>
        <v>6.5794988549375155</v>
      </c>
      <c r="E30" s="23">
        <f>(E31)/('Financial Statements'!D27/1000)</f>
        <v>5.3293779278484665</v>
      </c>
      <c r="F30" t="s">
        <v>163</v>
      </c>
    </row>
    <row r="31" spans="1:6" x14ac:dyDescent="0.2">
      <c r="A31" s="18"/>
      <c r="B31" s="3" t="s">
        <v>123</v>
      </c>
      <c r="C31" s="12">
        <f>'Financial Statements'!B91+'Financial Statements'!B104+'Financial Statements'!B99</f>
        <v>105262</v>
      </c>
      <c r="D31" s="12">
        <f>'Financial Statements'!C91+'Financial Statements'!C104+'Financial Statements'!C99</f>
        <v>109886</v>
      </c>
      <c r="E31" s="12">
        <f>'Financial Statements'!D91+'Financial Statements'!D104+'Financial Statements'!D99</f>
        <v>92476</v>
      </c>
      <c r="F31" t="s">
        <v>162</v>
      </c>
    </row>
    <row r="32" spans="1:6" x14ac:dyDescent="0.2">
      <c r="A32" s="18"/>
    </row>
    <row r="33" spans="1:6" x14ac:dyDescent="0.2">
      <c r="A33" s="18">
        <f>+A24+1</f>
        <v>4</v>
      </c>
      <c r="B33" s="17" t="s">
        <v>124</v>
      </c>
    </row>
    <row r="34" spans="1:6" x14ac:dyDescent="0.2">
      <c r="A34" s="18">
        <f>+A33+0.1</f>
        <v>4.0999999999999996</v>
      </c>
      <c r="B34" s="1" t="s">
        <v>125</v>
      </c>
      <c r="C34" s="23">
        <f>'Financial Statements'!B8/'Financial Statements'!B48</f>
        <v>1.1178523337727317</v>
      </c>
      <c r="D34" s="23">
        <f>'Financial Statements'!C8/'Financial Statements'!C48</f>
        <v>1.0422077367080529</v>
      </c>
      <c r="E34" s="23">
        <f>'Financial Statements'!D8/'Financial Statements'!D48</f>
        <v>0.84756150274168851</v>
      </c>
    </row>
    <row r="35" spans="1:6" x14ac:dyDescent="0.2">
      <c r="A35" s="18">
        <f>+A34+0.1</f>
        <v>4.1999999999999993</v>
      </c>
      <c r="B35" s="1" t="s">
        <v>126</v>
      </c>
      <c r="C35" s="23">
        <f>'Financial Statements'!B8/'Financial Statements'!B45</f>
        <v>9.3626801529073767</v>
      </c>
      <c r="D35" s="23">
        <f>'Financial Statements'!C8/'Financial Statements'!C45</f>
        <v>9.2752789046653152</v>
      </c>
      <c r="E35" s="23">
        <f>'Financial Statements'!D8/'Financial Statements'!D45</f>
        <v>7.4665451776097482</v>
      </c>
    </row>
    <row r="36" spans="1:6" x14ac:dyDescent="0.2">
      <c r="A36" s="18">
        <f>+A35+0.1</f>
        <v>4.2999999999999989</v>
      </c>
      <c r="B36" s="1" t="s">
        <v>127</v>
      </c>
      <c r="C36" s="23">
        <f>'Financial Statements'!B12/'Financial Statements'!B39</f>
        <v>45.197331176708452</v>
      </c>
      <c r="D36" s="23">
        <f>'Financial Statements'!C12/'Financial Statements'!C39</f>
        <v>32.367933130699086</v>
      </c>
      <c r="E36" s="23">
        <f>'Financial Statements'!D12/'Financial Statements'!D39</f>
        <v>41.753016498399411</v>
      </c>
    </row>
    <row r="37" spans="1:6" x14ac:dyDescent="0.2">
      <c r="A37" s="18">
        <f>+A36+0.1</f>
        <v>4.3999999999999986</v>
      </c>
      <c r="B37" s="1" t="s">
        <v>128</v>
      </c>
      <c r="C37" s="23">
        <f>'Financial Statements'!B22/'Financial Statements'!B48</f>
        <v>0.28292440929256851</v>
      </c>
      <c r="D37" s="23">
        <f>'Financial Statements'!C22/'Financial Statements'!C48</f>
        <v>0.26974205275183616</v>
      </c>
      <c r="E37" s="23">
        <f>'Financial Statements'!D22/'Financial Statements'!D48</f>
        <v>0.1772557180259843</v>
      </c>
    </row>
    <row r="38" spans="1:6" x14ac:dyDescent="0.2">
      <c r="A38" s="18"/>
    </row>
    <row r="39" spans="1:6" x14ac:dyDescent="0.2">
      <c r="A39" s="18">
        <f>+A33+1</f>
        <v>5</v>
      </c>
      <c r="B39" s="17" t="s">
        <v>129</v>
      </c>
    </row>
    <row r="40" spans="1:6" x14ac:dyDescent="0.2">
      <c r="A40" s="18">
        <f>+A39+0.1</f>
        <v>5.0999999999999996</v>
      </c>
      <c r="B40" s="1" t="s">
        <v>130</v>
      </c>
      <c r="C40" s="23">
        <f>(185.56)/'Financial Statements'!B25</f>
        <v>30.369885433715218</v>
      </c>
      <c r="D40" s="23">
        <f>(185.56)/'Financial Statements'!C25</f>
        <v>33.076648841354725</v>
      </c>
      <c r="E40" s="23">
        <f>(185.56)/'Financial Statements'!D25</f>
        <v>56.573170731707322</v>
      </c>
      <c r="F40" t="s">
        <v>164</v>
      </c>
    </row>
    <row r="41" spans="1:6" x14ac:dyDescent="0.2">
      <c r="A41" s="18">
        <f>+A40+0.1</f>
        <v>5.1999999999999993</v>
      </c>
      <c r="B41" s="3" t="s">
        <v>131</v>
      </c>
      <c r="C41" s="23">
        <f>'Financial Statements'!B25</f>
        <v>6.11</v>
      </c>
      <c r="D41" s="23">
        <f>'Financial Statements'!C25</f>
        <v>5.61</v>
      </c>
      <c r="E41" s="23">
        <f>'Financial Statements'!D25</f>
        <v>3.28</v>
      </c>
      <c r="F41" t="s">
        <v>164</v>
      </c>
    </row>
    <row r="42" spans="1:6" x14ac:dyDescent="0.2">
      <c r="A42" s="18">
        <f>+A41+0.1</f>
        <v>5.2999999999999989</v>
      </c>
      <c r="B42" s="1" t="s">
        <v>132</v>
      </c>
      <c r="C42" s="23">
        <f>185.56/C43</f>
        <v>59.784870809125351</v>
      </c>
      <c r="D42" s="23">
        <f t="shared" ref="D42:E42" si="3">185.56/D43</f>
        <v>49.603017429703598</v>
      </c>
      <c r="E42" s="23">
        <f t="shared" si="3"/>
        <v>49.779387346607692</v>
      </c>
      <c r="F42" t="s">
        <v>166</v>
      </c>
    </row>
    <row r="43" spans="1:6" x14ac:dyDescent="0.2">
      <c r="A43" s="18">
        <f>+A42+0.1</f>
        <v>5.3999999999999986</v>
      </c>
      <c r="B43" s="3" t="s">
        <v>133</v>
      </c>
      <c r="C43" s="23">
        <f>'Financial Statements'!B68/('Financial Statements'!B28/1000)</f>
        <v>3.1037952827971451</v>
      </c>
      <c r="D43" s="23">
        <f>'Financial Statements'!C68/('Financial Statements'!C28/1000)</f>
        <v>3.740901453484597</v>
      </c>
      <c r="E43" s="23">
        <f>'Financial Statements'!D68/('Financial Statements'!D28/1000)</f>
        <v>3.7276473233382479</v>
      </c>
      <c r="F43" t="s">
        <v>165</v>
      </c>
    </row>
    <row r="44" spans="1:6" x14ac:dyDescent="0.2">
      <c r="A44" s="18">
        <f>+A43+0.1</f>
        <v>5.4999999999999982</v>
      </c>
      <c r="B44" s="1" t="s">
        <v>134</v>
      </c>
      <c r="C44" s="23"/>
      <c r="D44" s="23"/>
      <c r="E44" s="23"/>
      <c r="F44" t="s">
        <v>168</v>
      </c>
    </row>
    <row r="45" spans="1:6" x14ac:dyDescent="0.2">
      <c r="A45" s="18"/>
      <c r="B45" s="3" t="s">
        <v>135</v>
      </c>
      <c r="C45" s="23">
        <f>'Financial Statements'!B102/('Financial Statements'!B28/1000)</f>
        <v>-0.90905087211857494</v>
      </c>
      <c r="D45" s="23">
        <f>'Financial Statements'!C102/('Financial Statements'!C28/1000)</f>
        <v>-0.85781615672153533</v>
      </c>
      <c r="E45" s="23">
        <f>'Financial Statements'!D102/('Financial Statements'!D28/1000)</f>
        <v>-0.80333341434558025</v>
      </c>
      <c r="F45" t="s">
        <v>169</v>
      </c>
    </row>
    <row r="46" spans="1:6" x14ac:dyDescent="0.2">
      <c r="A46" s="18">
        <f>+A44+0.1</f>
        <v>5.5999999999999979</v>
      </c>
      <c r="B46" s="1" t="s">
        <v>136</v>
      </c>
      <c r="C46" s="23">
        <f>C45/185.56</f>
        <v>-4.898959215987147E-3</v>
      </c>
      <c r="D46" s="23">
        <f t="shared" ref="D46:E46" si="4">D45/185.56</f>
        <v>-4.622850596688593E-3</v>
      </c>
      <c r="E46" s="23">
        <f t="shared" si="4"/>
        <v>-4.3292380596334354E-3</v>
      </c>
      <c r="F46" t="s">
        <v>167</v>
      </c>
    </row>
    <row r="47" spans="1:6" x14ac:dyDescent="0.2">
      <c r="A47" s="18">
        <f>+A45+0.1</f>
        <v>0.1</v>
      </c>
      <c r="B47" s="1" t="s">
        <v>137</v>
      </c>
      <c r="C47" s="23">
        <f>'Financial Statements'!B22/'Financial Statements'!B68</f>
        <v>1.9695887275023682</v>
      </c>
      <c r="D47" s="23">
        <f>'Financial Statements'!C22/'Financial Statements'!C68</f>
        <v>1.5007132667617689</v>
      </c>
      <c r="E47" s="23">
        <f>'Financial Statements'!D22/'Financial Statements'!D68</f>
        <v>0.87866358530127486</v>
      </c>
    </row>
    <row r="48" spans="1:6" x14ac:dyDescent="0.2">
      <c r="A48" s="18">
        <f>+A46+0.1</f>
        <v>5.6999999999999975</v>
      </c>
      <c r="B48" s="1" t="s">
        <v>138</v>
      </c>
      <c r="C48" s="23">
        <f>C21/('Financial Statements'!B68+'Financial Statements'!B59)</f>
        <v>0.32385000434401962</v>
      </c>
      <c r="D48" s="23">
        <f>D21/('Financial Statements'!C68+'Financial Statements'!C59)</f>
        <v>0.29497200864131573</v>
      </c>
      <c r="E48" s="23">
        <f>E21/('Financial Statements'!D68+'Financial Statements'!D59)</f>
        <v>0.11428240430228162</v>
      </c>
      <c r="F48" t="s">
        <v>170</v>
      </c>
    </row>
    <row r="49" spans="1:6" x14ac:dyDescent="0.2">
      <c r="A49" s="18">
        <f>+A47+0.1</f>
        <v>0.2</v>
      </c>
      <c r="B49" s="1" t="s">
        <v>128</v>
      </c>
      <c r="C49" s="23">
        <f>'Financial Statements'!B22/'Financial Statements'!B48</f>
        <v>0.28292440929256851</v>
      </c>
      <c r="D49" s="23">
        <f>'Financial Statements'!C22/'Financial Statements'!C48</f>
        <v>0.26974205275183616</v>
      </c>
      <c r="E49" s="23">
        <f>'Financial Statements'!D22/'Financial Statements'!D48</f>
        <v>0.1772557180259843</v>
      </c>
    </row>
    <row r="50" spans="1:6" x14ac:dyDescent="0.2">
      <c r="A50" s="18">
        <f>+A48+0.1</f>
        <v>5.7999999999999972</v>
      </c>
      <c r="B50" s="1" t="s">
        <v>139</v>
      </c>
      <c r="C50" s="23">
        <f>C51/C19</f>
        <v>23.712665708704549</v>
      </c>
      <c r="D50" s="23">
        <f t="shared" ref="D50:E50" si="5">D51/D19</f>
        <v>26.472491182287726</v>
      </c>
      <c r="E50" s="23">
        <f t="shared" si="5"/>
        <v>42.527968577265199</v>
      </c>
    </row>
    <row r="51" spans="1:6" x14ac:dyDescent="0.2">
      <c r="A51" s="18"/>
      <c r="B51" s="3" t="s">
        <v>140</v>
      </c>
      <c r="C51" s="23">
        <f>((185.56*'Financial Statements'!B27/1000)+'Financial Statements'!B55+'Financial Statements'!B59-'Financial Statements'!B36)</f>
        <v>3095475.0942800003</v>
      </c>
      <c r="D51" s="23">
        <f>((185.56*'Financial Statements'!C27/1000)+'Financial Statements'!C55+'Financial Statements'!C59-'Financial Statements'!C36)</f>
        <v>3182867.0323200002</v>
      </c>
      <c r="E51" s="23">
        <f>((185.56*'Financial Statements'!D27/1000)+'Financial Statements'!D55+'Financial Statements'!D59-'Financial Statements'!D36)</f>
        <v>3289283.2016399996</v>
      </c>
      <c r="F51" t="s">
        <v>171</v>
      </c>
    </row>
    <row r="54" spans="1:6" x14ac:dyDescent="0.2">
      <c r="F54" t="s">
        <v>172</v>
      </c>
    </row>
    <row r="55" spans="1:6" x14ac:dyDescent="0.2">
      <c r="C55" s="7">
        <v>2022</v>
      </c>
      <c r="D55" s="7">
        <v>2021</v>
      </c>
      <c r="E55" s="7">
        <v>2020</v>
      </c>
    </row>
    <row r="56" spans="1:6" x14ac:dyDescent="0.2">
      <c r="B56" s="17" t="s">
        <v>149</v>
      </c>
    </row>
    <row r="57" spans="1:6" x14ac:dyDescent="0.2">
      <c r="B57" s="29" t="s">
        <v>145</v>
      </c>
    </row>
    <row r="58" spans="1:6" x14ac:dyDescent="0.2">
      <c r="B58" s="1" t="s">
        <v>4</v>
      </c>
      <c r="C58" s="26">
        <f>('Financial Statements'!B6-'Financial Statements'!C6)/('Financial Statements'!C6)</f>
        <v>6.3239764351428418E-2</v>
      </c>
      <c r="D58" s="26">
        <f>('Financial Statements'!C6-'Financial Statements'!D6)/('Financial Statements'!D6)</f>
        <v>0.34720743656765435</v>
      </c>
    </row>
    <row r="59" spans="1:6" x14ac:dyDescent="0.2">
      <c r="B59" s="1" t="s">
        <v>5</v>
      </c>
      <c r="C59" s="26">
        <f>('Financial Statements'!B7-'Financial Statements'!C7)/('Financial Statements'!C7)</f>
        <v>0.14181951041286078</v>
      </c>
      <c r="D59" s="26">
        <f>('Financial Statements'!C7-'Financial Statements'!D7)/('Financial Statements'!D7)</f>
        <v>0.27259708376729652</v>
      </c>
    </row>
    <row r="60" spans="1:6" x14ac:dyDescent="0.2">
      <c r="B60" s="1" t="s">
        <v>174</v>
      </c>
      <c r="C60" s="26">
        <f>('Financial Statements'!B8-'Financial Statements'!C8)/('Financial Statements'!C8)</f>
        <v>7.7937876041846058E-2</v>
      </c>
      <c r="D60" s="26">
        <f>('Financial Statements'!C8-'Financial Statements'!D8)/('Financial Statements'!D8)</f>
        <v>0.33259384733074693</v>
      </c>
    </row>
    <row r="61" spans="1:6" x14ac:dyDescent="0.2">
      <c r="B61" s="27" t="s">
        <v>89</v>
      </c>
      <c r="C61" s="26">
        <f>('Financial Statements'!B13-'Financial Statements'!C13)/'Financial Statements'!C13</f>
        <v>0.11741997958596143</v>
      </c>
      <c r="D61" s="26">
        <f>('Financial Statements'!C13-'Financial Statements'!D13)/'Financial Statements'!D13</f>
        <v>0.45619116582186819</v>
      </c>
    </row>
    <row r="62" spans="1:6" x14ac:dyDescent="0.2">
      <c r="B62" s="29" t="s">
        <v>90</v>
      </c>
    </row>
    <row r="63" spans="1:6" x14ac:dyDescent="0.2">
      <c r="B63" s="1" t="s">
        <v>11</v>
      </c>
      <c r="C63" s="26">
        <f>('Financial Statements'!B15-'Financial Statements'!C15)/'Financial Statements'!C15</f>
        <v>0.19791001186456147</v>
      </c>
      <c r="D63" s="26">
        <f>('Financial Statements'!C15-'Financial Statements'!D15)/'Financial Statements'!D15</f>
        <v>0.16862201365187712</v>
      </c>
      <c r="E63" s="26"/>
    </row>
    <row r="64" spans="1:6" x14ac:dyDescent="0.2">
      <c r="B64" s="28" t="s">
        <v>12</v>
      </c>
      <c r="C64" s="26">
        <f>('Financial Statements'!B16-'Financial Statements'!C16)/'Financial Statements'!C16</f>
        <v>0.14203795567287125</v>
      </c>
      <c r="D64" s="26">
        <f>('Financial Statements'!C16-'Financial Statements'!D16)/'Financial Statements'!D16</f>
        <v>0.10328379192608958</v>
      </c>
      <c r="E64" s="26"/>
    </row>
    <row r="65" spans="2:5" x14ac:dyDescent="0.2">
      <c r="B65" s="30" t="s">
        <v>13</v>
      </c>
      <c r="C65" s="26">
        <f>('Financial Statements'!B17-'Financial Statements'!C17)/'Financial Statements'!C17</f>
        <v>0.16993642764372138</v>
      </c>
      <c r="D65" s="26">
        <f>('Financial Statements'!C17-'Financial Statements'!D17)/'Financial Statements'!D17</f>
        <v>0.13496948381090307</v>
      </c>
      <c r="E65" s="26"/>
    </row>
    <row r="66" spans="2:5" x14ac:dyDescent="0.2">
      <c r="B66" s="27" t="s">
        <v>91</v>
      </c>
      <c r="C66" s="26"/>
      <c r="D66" s="26"/>
      <c r="E66" s="26"/>
    </row>
    <row r="67" spans="2:5" x14ac:dyDescent="0.2">
      <c r="B67" s="30" t="s">
        <v>31</v>
      </c>
      <c r="C67" s="26">
        <f>('Financial Statements'!B42-'Financial Statements'!C42)/'Financial Statements'!C42</f>
        <v>4.2199412619775131E-3</v>
      </c>
      <c r="D67" s="26">
        <f>('Financial Statements'!C42-'Financial Statements'!D42)/'Financial Statements'!D42</f>
        <v>-6.176894226687913E-2</v>
      </c>
      <c r="E67" s="26"/>
    </row>
    <row r="68" spans="2:5" x14ac:dyDescent="0.2">
      <c r="B68" s="30" t="s">
        <v>50</v>
      </c>
      <c r="C68" s="26">
        <f>('Financial Statements'!B47-'Financial Statements'!C47)/'Financial Statements'!C47</f>
        <v>5.4772720964443994E-3</v>
      </c>
      <c r="D68" s="26">
        <f>('Financial Statements'!C47-'Financial Statements'!D47)/'Financial Statements'!D47</f>
        <v>0.19975579297904814</v>
      </c>
      <c r="E68" s="26"/>
    </row>
    <row r="69" spans="2:5" x14ac:dyDescent="0.2">
      <c r="B69" s="30" t="s">
        <v>33</v>
      </c>
      <c r="C69" s="26">
        <f>('Financial Statements'!B48-'Financial Statements'!C48)/'Financial Statements'!C48</f>
        <v>4.9942735369029236E-3</v>
      </c>
      <c r="D69" s="26">
        <f>('Financial Statements'!C48-'Financial Statements'!D48)/'Financial Statements'!D48</f>
        <v>8.3714123400681711E-2</v>
      </c>
      <c r="E69" s="26"/>
    </row>
    <row r="70" spans="2:5" x14ac:dyDescent="0.2">
      <c r="B70" s="30" t="s">
        <v>40</v>
      </c>
      <c r="C70" s="26">
        <f>('Financial Statements'!B56-'Financial Statements'!C56)/'Financial Statements'!C56</f>
        <v>0.22713398841258836</v>
      </c>
      <c r="D70" s="26">
        <f>('Financial Statements'!C56-'Financial Statements'!D56)/'Financial Statements'!D56</f>
        <v>0.19061219067860938</v>
      </c>
      <c r="E70" s="26"/>
    </row>
    <row r="71" spans="2:5" x14ac:dyDescent="0.2">
      <c r="B71" s="30" t="s">
        <v>53</v>
      </c>
      <c r="C71" s="26">
        <f>('Financial Statements'!B61-'Financial Statements'!C61)/'Financial Statements'!C61</f>
        <v>-8.8222075835277747E-2</v>
      </c>
      <c r="D71" s="26">
        <f>('Financial Statements'!C61-'Financial Statements'!D61)/'Financial Statements'!D61</f>
        <v>6.0552243775994566E-2</v>
      </c>
      <c r="E71" s="26"/>
    </row>
    <row r="72" spans="2:5" x14ac:dyDescent="0.2">
      <c r="B72" s="30" t="s">
        <v>41</v>
      </c>
      <c r="C72" s="26">
        <f>('Financial Statements'!B62-'Financial Statements'!C62)/'Financial Statements'!C62</f>
        <v>4.9219900525160468E-2</v>
      </c>
      <c r="D72" s="26">
        <f>('Financial Statements'!C62-'Financial Statements'!D62)/'Financial Statements'!D62</f>
        <v>0.11356841449783213</v>
      </c>
      <c r="E72" s="26"/>
    </row>
    <row r="73" spans="2:5" x14ac:dyDescent="0.2">
      <c r="B73" s="30" t="s">
        <v>45</v>
      </c>
      <c r="C73" s="26">
        <f>('Financial Statements'!B68-'Financial Statements'!C68)/'Financial Statements'!C68</f>
        <v>-0.19682992550324932</v>
      </c>
      <c r="D73" s="26">
        <f>('Financial Statements'!C68-'Financial Statements'!D68)/'Financial Statements'!D68</f>
        <v>-3.4420483937617659E-2</v>
      </c>
      <c r="E73" s="26"/>
    </row>
    <row r="74" spans="2:5" x14ac:dyDescent="0.2">
      <c r="B74" s="30" t="s">
        <v>46</v>
      </c>
      <c r="C74" s="26">
        <f>('Financial Statements'!B69-'Financial Statements'!C69)/'Financial Statements'!C69</f>
        <v>4.9942735369029236E-3</v>
      </c>
      <c r="D74" s="26">
        <f>('Financial Statements'!C69-'Financial Statements'!D69)/'Financial Statements'!D69</f>
        <v>8.3714123400681711E-2</v>
      </c>
      <c r="E74" s="26"/>
    </row>
    <row r="75" spans="2:5" x14ac:dyDescent="0.2">
      <c r="B75" s="1"/>
      <c r="C75" s="26"/>
      <c r="D75" s="26"/>
      <c r="E75" s="26"/>
    </row>
    <row r="76" spans="2:5" x14ac:dyDescent="0.2">
      <c r="B76" s="17" t="s">
        <v>92</v>
      </c>
      <c r="C76" s="26"/>
      <c r="D76" s="26"/>
      <c r="E76" s="26"/>
    </row>
    <row r="77" spans="2:5" x14ac:dyDescent="0.2">
      <c r="B77" s="27" t="s">
        <v>146</v>
      </c>
      <c r="C77" s="26">
        <f>'Financial Statements'!B12/'Financial Statements'!B8</f>
        <v>0.56690369438639909</v>
      </c>
      <c r="D77" s="26">
        <f>'Financial Statements'!C12/'Financial Statements'!C8</f>
        <v>0.58220640374832222</v>
      </c>
      <c r="E77" s="26">
        <f>'Financial Statements'!D12/'Financial Statements'!D8</f>
        <v>0.61766752272189129</v>
      </c>
    </row>
    <row r="78" spans="2:5" x14ac:dyDescent="0.2">
      <c r="B78" s="27" t="s">
        <v>89</v>
      </c>
      <c r="C78" s="26">
        <f>('Financial Statements'!B13/'Financial Statements'!B8)</f>
        <v>0.43309630561360085</v>
      </c>
      <c r="D78" s="26">
        <f>('Financial Statements'!C13/'Financial Statements'!C8)</f>
        <v>0.41779359625167778</v>
      </c>
      <c r="E78" s="26">
        <f>('Financial Statements'!D13/'Financial Statements'!D8)</f>
        <v>0.38233247727810865</v>
      </c>
    </row>
    <row r="79" spans="2:5" x14ac:dyDescent="0.2">
      <c r="B79" s="29" t="s">
        <v>90</v>
      </c>
      <c r="C79" s="26"/>
      <c r="D79" s="26"/>
      <c r="E79" s="26"/>
    </row>
    <row r="80" spans="2:5" x14ac:dyDescent="0.2">
      <c r="B80" s="1" t="s">
        <v>11</v>
      </c>
      <c r="C80" s="26">
        <f>'Financial Statements'!B15/'Financial Statements'!B$8</f>
        <v>6.657148363798665E-2</v>
      </c>
      <c r="D80" s="26">
        <f>'Financial Statements'!C15/'Financial Statements'!C$8</f>
        <v>5.9904269074427925E-2</v>
      </c>
      <c r="E80" s="26">
        <f>'Financial Statements'!D15/'Financial Statements'!D$8</f>
        <v>6.8309564140393061E-2</v>
      </c>
    </row>
    <row r="81" spans="2:5" x14ac:dyDescent="0.2">
      <c r="B81" s="28" t="s">
        <v>12</v>
      </c>
      <c r="C81" s="26">
        <f>'Financial Statements'!B16/'Financial Statements'!B$8</f>
        <v>6.3637378020328261E-2</v>
      </c>
      <c r="D81" s="26">
        <f>'Financial Statements'!C16/'Financial Statements'!C$8</f>
        <v>6.006555190163388E-2</v>
      </c>
      <c r="E81" s="26">
        <f>'Financial Statements'!D16/'Financial Statements'!D$8</f>
        <v>7.2549769593646979E-2</v>
      </c>
    </row>
    <row r="82" spans="2:5" x14ac:dyDescent="0.2">
      <c r="B82" s="30" t="s">
        <v>13</v>
      </c>
      <c r="C82" s="26">
        <f>'Financial Statements'!B17/'Financial Statements'!B$8</f>
        <v>0.13020886165831491</v>
      </c>
      <c r="D82" s="26">
        <f>'Financial Statements'!C17/'Financial Statements'!C$8</f>
        <v>0.11996982097606181</v>
      </c>
      <c r="E82" s="26">
        <f>'Financial Statements'!D17/'Financial Statements'!D$8</f>
        <v>0.14085933373404003</v>
      </c>
    </row>
    <row r="83" spans="2:5" x14ac:dyDescent="0.2">
      <c r="B83" s="27" t="s">
        <v>14</v>
      </c>
      <c r="C83" s="26">
        <f>'Financial Statements'!B18/'Financial Statements'!B8</f>
        <v>0.30288744395528594</v>
      </c>
      <c r="D83" s="26">
        <f>'Financial Statements'!C18/'Financial Statements'!C8</f>
        <v>0.29782377527561593</v>
      </c>
      <c r="E83" s="26">
        <f>'Financial Statements'!D18/'Financial Statements'!D8</f>
        <v>0.24147314354406862</v>
      </c>
    </row>
    <row r="84" spans="2:5" x14ac:dyDescent="0.2">
      <c r="B84" s="27" t="s">
        <v>93</v>
      </c>
      <c r="C84" s="26">
        <f>'Financial Statements'!B22/'Financial Statements'!B8</f>
        <v>0.25309640705199732</v>
      </c>
      <c r="D84" s="26">
        <f>'Financial Statements'!C22/'Financial Statements'!C8</f>
        <v>0.25881793355694238</v>
      </c>
      <c r="E84" s="26">
        <f>'Financial Statements'!D22/'Financial Statements'!D8</f>
        <v>0.20913611278072236</v>
      </c>
    </row>
    <row r="85" spans="2:5" x14ac:dyDescent="0.2">
      <c r="B85" s="1"/>
      <c r="C85" s="26"/>
      <c r="D85" s="26"/>
      <c r="E85" s="26"/>
    </row>
    <row r="86" spans="2:5" x14ac:dyDescent="0.2">
      <c r="B86" s="17" t="s">
        <v>98</v>
      </c>
      <c r="C86" s="26"/>
      <c r="D86" s="26"/>
      <c r="E86" s="26"/>
    </row>
    <row r="87" spans="2:5" x14ac:dyDescent="0.2">
      <c r="B87" s="27" t="s">
        <v>94</v>
      </c>
      <c r="C87" s="26">
        <f>'Financial Statements'!B21/'Financial Statements'!B20</f>
        <v>0.16204461684424407</v>
      </c>
      <c r="D87" s="26">
        <f>'Financial Statements'!C21/'Financial Statements'!C20</f>
        <v>0.13302260844085087</v>
      </c>
      <c r="E87" s="26">
        <f>'Financial Statements'!D21/'Financial Statements'!D20</f>
        <v>0.14428164731484103</v>
      </c>
    </row>
    <row r="88" spans="2:5" x14ac:dyDescent="0.2">
      <c r="B88" s="27" t="s">
        <v>95</v>
      </c>
      <c r="C88" s="23">
        <f>'Financial Statements'!B99/'Financial Statements'!B8</f>
        <v>-5.6688847862692987E-2</v>
      </c>
      <c r="D88" s="23">
        <f>'Financial Statements'!C99/'Financial Statements'!C8</f>
        <v>-3.9760317317128507E-2</v>
      </c>
      <c r="E88" s="23">
        <f>'Financial Statements'!D99/'Financial Statements'!D8</f>
        <v>-1.5623918547256069E-2</v>
      </c>
    </row>
    <row r="89" spans="2:5" x14ac:dyDescent="0.2">
      <c r="B89" s="27" t="s">
        <v>96</v>
      </c>
      <c r="C89" s="23">
        <f>'Financial Statements'!B99/'Financial Statements'!B47</f>
        <v>-0.10284794110881068</v>
      </c>
      <c r="D89" s="23">
        <f>'Financial Statements'!C99/'Financial Statements'!C47</f>
        <v>-6.7286252232080901E-2</v>
      </c>
      <c r="E89" s="23">
        <f>'Financial Statements'!D99/'Financial Statements'!D47</f>
        <v>-2.3804634383238519E-2</v>
      </c>
    </row>
  </sheetData>
  <mergeCells count="1">
    <mergeCell ref="C2:E2"/>
  </mergeCells>
  <pageMargins left="0.7" right="0.7" top="0.75" bottom="0.75" header="0.3" footer="0.3"/>
  <ignoredErrors>
    <ignoredError sqref="C6:E6" formulaRange="1"/>
    <ignoredError sqref="C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Jake Pang Wheeler</cp:lastModifiedBy>
  <dcterms:created xsi:type="dcterms:W3CDTF">2020-05-18T16:32:37Z</dcterms:created>
  <dcterms:modified xsi:type="dcterms:W3CDTF">2024-01-19T06:37:32Z</dcterms:modified>
</cp:coreProperties>
</file>