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QuilCapital\Tasks\"/>
    </mc:Choice>
  </mc:AlternateContent>
  <xr:revisionPtr revIDLastSave="0" documentId="13_ncr:1_{46EC2CFD-E0A0-47AF-A715-FDFD24F8F301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3" l="1"/>
  <c r="D69" i="3"/>
  <c r="E70" i="3"/>
  <c r="E69" i="3"/>
  <c r="E61" i="3"/>
  <c r="E62" i="3"/>
  <c r="E60" i="3"/>
  <c r="E68" i="3"/>
  <c r="E65" i="3"/>
  <c r="E66" i="3"/>
  <c r="E64" i="3"/>
  <c r="E58" i="3"/>
  <c r="E57" i="3"/>
  <c r="E56" i="3"/>
  <c r="D80" i="3" l="1"/>
  <c r="E80" i="3"/>
  <c r="C80" i="3"/>
  <c r="D79" i="3"/>
  <c r="E79" i="3"/>
  <c r="C79" i="3"/>
  <c r="D78" i="3"/>
  <c r="E78" i="3"/>
  <c r="C78" i="3"/>
  <c r="D77" i="3"/>
  <c r="E77" i="3"/>
  <c r="C77" i="3"/>
  <c r="D76" i="3"/>
  <c r="E76" i="3"/>
  <c r="C76" i="3"/>
  <c r="D74" i="3"/>
  <c r="E74" i="3"/>
  <c r="C74" i="3"/>
  <c r="D73" i="3"/>
  <c r="E73" i="3"/>
  <c r="C73" i="3"/>
  <c r="D85" i="3"/>
  <c r="E85" i="3"/>
  <c r="C85" i="3"/>
  <c r="D84" i="3"/>
  <c r="E84" i="3"/>
  <c r="C84" i="3"/>
  <c r="D83" i="3"/>
  <c r="E83" i="3"/>
  <c r="C83" i="3"/>
  <c r="D70" i="3"/>
  <c r="C70" i="3"/>
  <c r="D68" i="3"/>
  <c r="C68" i="3"/>
  <c r="D66" i="3"/>
  <c r="C66" i="3"/>
  <c r="D65" i="3"/>
  <c r="C65" i="3"/>
  <c r="D64" i="3"/>
  <c r="C64" i="3"/>
  <c r="D62" i="3"/>
  <c r="C62" i="3"/>
  <c r="D61" i="3"/>
  <c r="C61" i="3"/>
  <c r="D60" i="3"/>
  <c r="C60" i="3"/>
  <c r="D58" i="3"/>
  <c r="C58" i="3"/>
  <c r="D57" i="3"/>
  <c r="C57" i="3"/>
  <c r="C56" i="3"/>
  <c r="D56" i="3"/>
  <c r="D50" i="3"/>
  <c r="E50" i="3"/>
  <c r="C50" i="3"/>
  <c r="D51" i="3"/>
  <c r="E51" i="3"/>
  <c r="C51" i="3"/>
  <c r="D49" i="3"/>
  <c r="E49" i="3"/>
  <c r="C49" i="3"/>
  <c r="D48" i="3"/>
  <c r="E48" i="3"/>
  <c r="C48" i="3"/>
  <c r="D47" i="3"/>
  <c r="E47" i="3"/>
  <c r="C47" i="3"/>
  <c r="C46" i="3"/>
  <c r="D44" i="3"/>
  <c r="D46" i="3" s="1"/>
  <c r="E44" i="3"/>
  <c r="E46" i="3" s="1"/>
  <c r="C44" i="3"/>
  <c r="D45" i="3"/>
  <c r="E45" i="3"/>
  <c r="C45" i="3"/>
  <c r="D43" i="3"/>
  <c r="E43" i="3"/>
  <c r="C43" i="3"/>
  <c r="D42" i="3" l="1"/>
  <c r="E42" i="3"/>
  <c r="C42" i="3"/>
  <c r="C40" i="3"/>
  <c r="D40" i="3"/>
  <c r="E40" i="3"/>
  <c r="D41" i="3"/>
  <c r="E41" i="3"/>
  <c r="C41" i="3"/>
  <c r="E37" i="3"/>
  <c r="D37" i="3"/>
  <c r="C37" i="3"/>
  <c r="E36" i="3"/>
  <c r="D36" i="3"/>
  <c r="C36" i="3"/>
  <c r="D35" i="3" l="1"/>
  <c r="E35" i="3"/>
  <c r="C35" i="3"/>
  <c r="D34" i="3"/>
  <c r="E34" i="3"/>
  <c r="C34" i="3"/>
  <c r="D30" i="3"/>
  <c r="E30" i="3"/>
  <c r="C30" i="3"/>
  <c r="D31" i="3"/>
  <c r="E31" i="3"/>
  <c r="C31" i="3"/>
  <c r="D29" i="3" l="1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 l="1"/>
  <c r="E17" i="3"/>
  <c r="C17" i="3"/>
  <c r="D13" i="3" l="1"/>
  <c r="E13" i="3"/>
  <c r="C13" i="3"/>
  <c r="D14" i="3"/>
  <c r="E14" i="3"/>
  <c r="C14" i="3"/>
  <c r="D10" i="3" l="1"/>
  <c r="E10" i="3"/>
  <c r="C10" i="3"/>
  <c r="D9" i="3"/>
  <c r="E9" i="3"/>
  <c r="C9" i="3"/>
  <c r="D12" i="3" l="1"/>
  <c r="E12" i="3"/>
  <c r="C12" i="3"/>
  <c r="D11" i="3"/>
  <c r="E11" i="3"/>
  <c r="C11" i="3"/>
  <c r="D8" i="3"/>
  <c r="E8" i="3"/>
  <c r="C8" i="3"/>
  <c r="B42" i="1"/>
  <c r="D6" i="3" l="1"/>
  <c r="E6" i="3"/>
  <c r="C6" i="3"/>
  <c r="D7" i="3" l="1"/>
  <c r="E7" i="3"/>
  <c r="C7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<sst xmlns="http://schemas.openxmlformats.org/spreadsheetml/2006/main" count="225" uniqueCount="170">
  <si>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</si>
  <si>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</si>
  <si>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</si>
  <si>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</si>
  <si>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</si>
  <si>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</si>
  <si>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</si>
  <si>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</si>
  <si>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</si>
  <si>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</si>
  <si>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</si>
  <si>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</si>
  <si>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</si>
  <si>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</si>
  <si>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</si>
  <si>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</si>
  <si>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</si>
  <si>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</si>
  <si>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</si>
  <si>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</si>
  <si>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</si>
  <si>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</si>
  <si>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</si>
  <si>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</si>
  <si>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</si>
  <si>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</si>
  <si>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</si>
  <si>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</si>
  <si>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</si>
  <si>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</si>
  <si>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</si>
  <si>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</si>
  <si>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</si>
  <si>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</si>
  <si>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</si>
  <si>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</si>
  <si>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</si>
  <si>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</si>
  <si>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</si>
  <si>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</si>
  <si>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</si>
  <si>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</si>
  <si>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</si>
  <si>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</si>
  <si>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</si>
  <si>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</si>
  <si>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</si>
  <si>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</si>
  <si>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</si>
  <si>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</si>
  <si>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</si>
  <si>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</si>
  <si>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</si>
  <si>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</si>
  <si>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</si>
  <si>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</si>
  <si>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</si>
  <si>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</si>
  <si>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</si>
  <si>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</si>
  <si>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</si>
  <si>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</si>
  <si>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</si>
  <si>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</si>
  <si>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</si>
  <si>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</si>
  <si>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</si>
  <si>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</si>
  <si>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</si>
  <si>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</si>
  <si>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</si>
  <si>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</si>
  <si>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</si>
  <si>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</si>
  <si>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</si>
  <si>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</si>
  <si>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</si>
  <si>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</si>
  <si>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</si>
  <si>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</si>
  <si>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</si>
  <si>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</si>
  <si>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</si>
  <si>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</si>
  <si>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</si>
  <si>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</si>
  <si>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</si>
  <si>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</si>
  <si>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</si>
  <si>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</si>
  <si>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</si>
  <si>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</si>
  <si>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</si>
  <si>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</si>
  <si>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</si>
  <si>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</si>
  <si>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</si>
  <si>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</si>
  <si>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</si>
  <si>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</si>
  <si>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</si>
  <si>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</si>
  <si>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</si>
  <si>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</si>
  <si>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</si>
  <si>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</si>
  <si>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</si>
  <si>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</si>
  <si>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</si>
  <si>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</si>
  <si>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</si>
  <si>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</si>
  <si>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</si>
  <si>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</si>
  <si>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</si>
  <si>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</si>
  <si>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</si>
  <si>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</si>
  <si>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</si>
  <si>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</si>
  <si>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</si>
  <si>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</si>
  <si>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</si>
  <si>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</si>
  <si>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</si>
  <si>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</si>
  <si>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</si>
  <si>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</si>
  <si>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</si>
  <si>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</si>
  <si>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</si>
  <si>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</si>
  <si>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</si>
  <si>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</si>
  <si>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</si>
  <si>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</si>
  <si>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</si>
  <si>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</si>
  <si>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</si>
  <si>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</si>
  <si>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</si>
  <si>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</si>
  <si>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</si>
  <si>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</si>
  <si>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</si>
  <si>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</si>
  <si>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</si>
  <si>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</si>
  <si>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</si>
  <si>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</si>
  <si>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Value</t>
  </si>
  <si>
    <t>Shares</t>
  </si>
  <si>
    <t>Authorised</t>
  </si>
  <si>
    <t>Issued</t>
  </si>
  <si>
    <t>outstanding</t>
  </si>
  <si>
    <t xml:space="preserve">Net </t>
  </si>
  <si>
    <t>Assets</t>
  </si>
  <si>
    <t>Liabilities</t>
  </si>
  <si>
    <t>Equity</t>
  </si>
  <si>
    <t>Total operating Expenses</t>
  </si>
  <si>
    <t>Additional Items</t>
  </si>
  <si>
    <t>Margins as % of Net Sales</t>
  </si>
  <si>
    <t>Product</t>
  </si>
  <si>
    <t>2019 Values From Financial statements</t>
  </si>
  <si>
    <t>Net</t>
  </si>
  <si>
    <t>Net Sales</t>
  </si>
  <si>
    <t>Cost of Sales</t>
  </si>
  <si>
    <t>Expenses</t>
  </si>
  <si>
    <t>Balance sheet</t>
  </si>
  <si>
    <t>Growth Rates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</si>
</sst>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$-409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9" fontId="0" fillId="0" borderId="0" xfId="3" applyFont="1"/>
    <xf numFmtId="0" fontId="2" fillId="0" borderId="4" xfId="0" applyFont="1" applyBorder="1"/>
    <xf numFmtId="0" fontId="2" fillId="0" borderId="5" xfId="0" applyFon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5" fontId="0" fillId="0" borderId="16" xfId="1" applyNumberFormat="1" applyFon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0" fontId="0" fillId="0" borderId="0" xfId="3" applyNumberFormat="1" applyFont="1"/>
    <xf numFmtId="167" fontId="0" fillId="0" borderId="0" xfId="0" applyNumberFormat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2" fillId="0" borderId="15" xfId="0" applyFont="1" applyBorder="1"/>
    <xf numFmtId="10" fontId="0" fillId="0" borderId="0" xfId="0" applyNumberForma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2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23" xfId="0" applyBorder="1"/>
    <xf numFmtId="0" fontId="0" fillId="0" borderId="22" xfId="0" applyBorder="1" applyAlignment="1">
      <alignment horizontal="left" indent="1"/>
    </xf>
    <xf numFmtId="0" fontId="0" fillId="0" borderId="22" xfId="0" applyBorder="1"/>
    <xf numFmtId="0" fontId="0" fillId="0" borderId="24" xfId="0" applyBorder="1"/>
    <xf numFmtId="0" fontId="0" fillId="0" borderId="15" xfId="0" applyBorder="1"/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0" xfId="0" applyNumberFormat="1" applyBorder="1"/>
    <xf numFmtId="0" fontId="0" fillId="0" borderId="15" xfId="0" applyNumberForma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9" workbookViewId="0">
      <selection activeCell="B56" sqref="B56"/>
    </sheetView>
  </sheetViews>
  <sheetFormatPr defaultRowHeight="14.4" x14ac:dyDescent="0.3"/>
  <cols>
    <col min="1" max="1" width="57.77734375" customWidth="1"/>
    <col min="2" max="3" width="11.5546875" bestFit="1" customWidth="1"/>
    <col min="4" max="4" width="11.6640625" bestFit="1" customWidth="1"/>
    <col min="7" max="7" width="14.5546875" bestFit="1" customWidth="1"/>
    <col min="8" max="9" width="12.441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6" t="s">
        <v>1</v>
      </c>
      <c r="B2" s="46"/>
      <c r="C2" s="46"/>
      <c r="D2" s="46"/>
    </row>
    <row r="3" spans="1:10" x14ac:dyDescent="0.3">
      <c r="B3" s="45" t="s">
        <v>23</v>
      </c>
      <c r="C3" s="45"/>
      <c r="D3" s="4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46" t="s">
        <v>24</v>
      </c>
      <c r="B31" s="46"/>
      <c r="C31" s="46"/>
      <c r="D31" s="46"/>
    </row>
    <row r="32" spans="1:4" x14ac:dyDescent="0.3">
      <c r="B32" s="45" t="s">
        <v>142</v>
      </c>
      <c r="C32" s="45"/>
      <c r="D32" s="4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9" ht="15" thickTop="1" x14ac:dyDescent="0.3"/>
    <row r="50" spans="1:9" x14ac:dyDescent="0.3">
      <c r="A50" t="s">
        <v>34</v>
      </c>
    </row>
    <row r="51" spans="1:9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9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9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9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9" x14ac:dyDescent="0.3">
      <c r="A57" t="s">
        <v>51</v>
      </c>
      <c r="B57" s="12"/>
      <c r="C57" s="12"/>
      <c r="D57" s="12"/>
    </row>
    <row r="58" spans="1:9" x14ac:dyDescent="0.3">
      <c r="A58" s="1" t="s">
        <v>37</v>
      </c>
      <c r="B58" s="12"/>
      <c r="C58" s="12"/>
      <c r="D58" s="12"/>
    </row>
    <row r="59" spans="1:9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9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9" ht="15" thickBot="1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9" ht="15" thickBot="1" x14ac:dyDescent="0.35">
      <c r="B63" s="12"/>
      <c r="C63" s="12"/>
      <c r="D63" s="12"/>
      <c r="G63" s="42" t="s">
        <v>151</v>
      </c>
      <c r="H63" s="43"/>
      <c r="I63" s="44"/>
    </row>
    <row r="64" spans="1:9" ht="15" thickBot="1" x14ac:dyDescent="0.35">
      <c r="A64" t="s">
        <v>42</v>
      </c>
      <c r="B64" s="12"/>
      <c r="C64" s="12"/>
      <c r="D64" s="12"/>
      <c r="G64" s="30" t="s">
        <v>152</v>
      </c>
      <c r="H64" s="31" t="s">
        <v>153</v>
      </c>
      <c r="I64" s="32" t="s">
        <v>154</v>
      </c>
    </row>
    <row r="65" spans="1:9" ht="15" thickBot="1" x14ac:dyDescent="0.35">
      <c r="A65" s="1" t="s">
        <v>54</v>
      </c>
      <c r="B65" s="12">
        <v>64849</v>
      </c>
      <c r="C65" s="12">
        <v>57365</v>
      </c>
      <c r="D65" s="12">
        <v>50779</v>
      </c>
      <c r="G65" s="33">
        <v>126000000</v>
      </c>
      <c r="H65" s="34">
        <v>4443236</v>
      </c>
      <c r="I65" s="35">
        <v>4754986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46" t="s">
        <v>55</v>
      </c>
      <c r="B71" s="46"/>
      <c r="C71" s="46"/>
      <c r="D71" s="46"/>
    </row>
    <row r="72" spans="1:9" x14ac:dyDescent="0.3">
      <c r="B72" s="45" t="s">
        <v>23</v>
      </c>
      <c r="C72" s="45"/>
      <c r="D72" s="45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9" x14ac:dyDescent="0.3">
      <c r="A77" s="11" t="s">
        <v>18</v>
      </c>
      <c r="B77" s="15"/>
      <c r="C77" s="15"/>
      <c r="D77" s="15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7">
    <mergeCell ref="G63:I63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tabSelected="1" workbookViewId="0">
      <selection activeCell="C70" sqref="C70"/>
    </sheetView>
  </sheetViews>
  <sheetFormatPr defaultRowHeight="14.4" x14ac:dyDescent="0.3"/>
  <cols>
    <col min="1" max="1" width="4.6640625" customWidth="1"/>
    <col min="2" max="2" width="44.88671875" customWidth="1"/>
    <col min="3" max="5" width="16" bestFit="1" customWidth="1"/>
    <col min="8" max="8" width="30.33203125" bestFit="1" customWidth="1"/>
    <col min="9" max="9" width="9.441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45" t="s">
        <v>23</v>
      </c>
      <c r="D2" s="45"/>
      <c r="E2" s="4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3">
        <f>('Financial Statements'!B36)/'Financial Statements'!B56</f>
        <v>0.15356340351469652</v>
      </c>
      <c r="D7" s="23">
        <f>('Financial Statements'!C36)/'Financial Statements'!C56</f>
        <v>0.27844853005634318</v>
      </c>
      <c r="E7" s="23">
        <f>('Financial Statements'!D36)/'Financial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3">
        <f>'Financial Statements'!B42/('Financial Statements'!B17/365)</f>
        <v>962.56354075372474</v>
      </c>
      <c r="D8" s="23">
        <f>'Financial Statements'!C42/('Financial Statements'!C17/365)</f>
        <v>1121.4058832911796</v>
      </c>
      <c r="E8" s="23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Statements'!B39+'Financial Statements'!C39)/2)/'Financial Statements'!B12)*365</f>
        <v>9.4096740715557434</v>
      </c>
      <c r="D9" s="23">
        <f>((('Financial Statements'!C39+'Financial Statements'!D39)/2)/'Financial Statements'!C12)*365</f>
        <v>9.1181020842234748</v>
      </c>
      <c r="E9" s="23">
        <f>((('Financial Statements'!D39+'Financial Statements'!E39)/2)/'Financial Statements'!D12)*365</f>
        <v>4.3709416781179415</v>
      </c>
    </row>
    <row r="10" spans="1:10" x14ac:dyDescent="0.3">
      <c r="A10" s="18">
        <f t="shared" si="0"/>
        <v>1.6000000000000005</v>
      </c>
      <c r="B10" s="1" t="s">
        <v>105</v>
      </c>
      <c r="C10" s="23">
        <f>'Financial Statements'!B51*365/'Financial Statements'!B12</f>
        <v>104.68527730310539</v>
      </c>
      <c r="D10" s="23">
        <f>'Financial Statements'!C51*365/'Financial Statements'!C12</f>
        <v>93.85107122231561</v>
      </c>
      <c r="E10" s="23">
        <f>'Financial Statements'!D51*365/'Financial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3">
        <f>'Financial Statements'!B38/'Financial Statements'!B8*365</f>
        <v>26.087825363656648</v>
      </c>
      <c r="D11" s="23">
        <f>'Financial Statements'!C38/'Financial Statements'!C8*365</f>
        <v>26.219311841713207</v>
      </c>
      <c r="E11" s="23">
        <f>'Financial Statements'!D38/'Financial Statements'!D8*365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3">
        <f>C9+C11-C10</f>
        <v>-69.187777867893004</v>
      </c>
      <c r="D12" s="23">
        <f t="shared" ref="D12:E12" si="1">D9+D11-D10</f>
        <v>-58.513657296378931</v>
      </c>
      <c r="E12" s="23">
        <f t="shared" si="1"/>
        <v>-65.243810884759498</v>
      </c>
    </row>
    <row r="13" spans="1:10" x14ac:dyDescent="0.3">
      <c r="A13" s="18">
        <f t="shared" si="0"/>
        <v>1.9000000000000008</v>
      </c>
      <c r="B13" s="1" t="s">
        <v>108</v>
      </c>
      <c r="C13" s="24">
        <f>'Financial Statements'!B8/'List of Ratios'!C14</f>
        <v>-21.226678150401032</v>
      </c>
      <c r="D13" s="24">
        <f>'Financial Statements'!C8/'List of Ratios'!D14</f>
        <v>39.103901656867983</v>
      </c>
      <c r="E13" s="24">
        <f>'Financial Statements'!D8/'List of Ratios'!E14</f>
        <v>7.1635656689543596</v>
      </c>
    </row>
    <row r="14" spans="1:10" x14ac:dyDescent="0.3">
      <c r="A14" s="18"/>
      <c r="B14" s="3" t="s">
        <v>109</v>
      </c>
      <c r="C14" s="23">
        <f>'Financial Statements'!B42-'Financial Statements'!B56</f>
        <v>-18577</v>
      </c>
      <c r="D14" s="23">
        <f>'Financial Statements'!C42-'Financial Statements'!C56</f>
        <v>9355</v>
      </c>
      <c r="E14" s="23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5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3">
      <c r="A20" s="18">
        <f>+A18+0.1</f>
        <v>2.3000000000000003</v>
      </c>
      <c r="B20" s="1" t="s">
        <v>113</v>
      </c>
      <c r="C20" s="24">
        <f>C21/'Financial Statements'!B8</f>
        <v>0.30288744395528594</v>
      </c>
      <c r="D20" s="24">
        <f>D21/'Financial Statements'!C8</f>
        <v>0.29782377527561593</v>
      </c>
      <c r="E20" s="24">
        <f>E21/'Financial Statements'!D8</f>
        <v>0.24147314354406862</v>
      </c>
    </row>
    <row r="21" spans="1:5" x14ac:dyDescent="0.3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5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</row>
    <row r="26" spans="1:5" x14ac:dyDescent="0.3">
      <c r="A26" s="18">
        <f t="shared" ref="A26:A30" si="2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</row>
    <row r="27" spans="1:5" x14ac:dyDescent="0.3">
      <c r="A27" s="18">
        <f t="shared" si="2"/>
        <v>3.3000000000000003</v>
      </c>
      <c r="B27" s="1" t="s">
        <v>119</v>
      </c>
      <c r="C27" s="23">
        <f>'Financial Statements'!B62/('Financial Statements'!B62+'Financial Statements'!B68)</f>
        <v>0.85635355983614692</v>
      </c>
      <c r="D27" s="23">
        <f>'Financial Statements'!C62/('Financial Statements'!C62+'Financial Statements'!C68)</f>
        <v>0.82025743443057308</v>
      </c>
      <c r="E27" s="23">
        <f>'Financial Statements'!D62/('Financial Statements'!D62+'Financial Statements'!D68)</f>
        <v>0.79826668477992391</v>
      </c>
    </row>
    <row r="28" spans="1:5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121</v>
      </c>
      <c r="C29" s="23">
        <f>'Financial Statements'!B18/('Financial Statements'!B59+'Financial Statements'!B55)</f>
        <v>1.0849328258559139</v>
      </c>
      <c r="D29" s="23">
        <f>'Financial Statements'!C18/'Financial Statements'!C59</f>
        <v>0.9985610323905193</v>
      </c>
      <c r="E29" s="23">
        <f>'Financial Statements'!D18/'Financial Statements'!D59</f>
        <v>0.67183556812308065</v>
      </c>
    </row>
    <row r="30" spans="1:5" x14ac:dyDescent="0.3">
      <c r="A30" s="18">
        <f t="shared" si="2"/>
        <v>3.6000000000000005</v>
      </c>
      <c r="B30" s="1" t="s">
        <v>122</v>
      </c>
      <c r="C30" s="23">
        <f>C31/'Financial Statements'!B27</f>
        <v>6.9010553259932052E-3</v>
      </c>
      <c r="D30" s="23">
        <f>D31/'Financial Statements'!C27</f>
        <v>5.5870254522458274E-3</v>
      </c>
      <c r="E30" s="23">
        <f>E31/'Financial Statements'!D27</f>
        <v>4.252975299745187E-3</v>
      </c>
    </row>
    <row r="31" spans="1:5" x14ac:dyDescent="0.3">
      <c r="A31" s="18"/>
      <c r="B31" s="3" t="s">
        <v>123</v>
      </c>
      <c r="C31" s="23">
        <f>'Financial Statements'!B91+'Financial Statements'!B114*('Financial Statements'!B21/'Financial Statements'!B20)-(-'Financial Statements'!B96)</f>
        <v>111907.25782725876</v>
      </c>
      <c r="D31" s="23">
        <f>'Financial Statements'!C91+'Financial Statements'!C114*('Financial Statements'!C21/'Financial Statements'!C20)-(-'Financial Statements'!C96)</f>
        <v>93310.431748880568</v>
      </c>
      <c r="E31" s="23">
        <f>'Financial Statements'!D91+'Financial Statements'!D114*('Financial Statements'!D21/'Financial Statements'!D20)-(-'Financial Statements'!D96)</f>
        <v>73798.133505239151</v>
      </c>
    </row>
    <row r="32" spans="1:5" x14ac:dyDescent="0.3">
      <c r="A32" s="18"/>
    </row>
    <row r="33" spans="1:9" x14ac:dyDescent="0.3">
      <c r="A33" s="18">
        <f>+A24+1</f>
        <v>4</v>
      </c>
      <c r="B33" s="17" t="s">
        <v>124</v>
      </c>
    </row>
    <row r="34" spans="1:9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>
        <f>'Financial Statements'!D8/(('Financial Statements'!D48+'Financial Statements'!E48)/2)</f>
        <v>1.695123005483377</v>
      </c>
    </row>
    <row r="35" spans="1:9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>
        <f>'Financial Statements'!D8/(('Financial Statements'!D45+'Financial Statements'!E45)/2)</f>
        <v>14.933090355219496</v>
      </c>
    </row>
    <row r="36" spans="1:9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>
        <f>'Financial Statements'!D12/(('Financial Statements'!D39+'Financial Statements'!E39)/2)</f>
        <v>83.506032996798822</v>
      </c>
    </row>
    <row r="37" spans="1:9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9" ht="15" thickBot="1" x14ac:dyDescent="0.35">
      <c r="A38" s="18"/>
      <c r="G38" s="47" t="s">
        <v>150</v>
      </c>
      <c r="H38" s="48"/>
      <c r="I38" s="49"/>
    </row>
    <row r="39" spans="1:9" x14ac:dyDescent="0.3">
      <c r="A39" s="18">
        <f>+A33+1</f>
        <v>5</v>
      </c>
      <c r="B39" s="17" t="s">
        <v>129</v>
      </c>
      <c r="G39" s="25">
        <v>2022</v>
      </c>
      <c r="H39" s="7">
        <v>2021</v>
      </c>
      <c r="I39" s="26">
        <v>2020</v>
      </c>
    </row>
    <row r="40" spans="1:9" x14ac:dyDescent="0.3">
      <c r="A40" s="18">
        <f>+A39+0.1</f>
        <v>5.0999999999999996</v>
      </c>
      <c r="B40" s="1" t="s">
        <v>130</v>
      </c>
      <c r="C40" s="23">
        <f>G40/C41</f>
        <v>21.126829268292681</v>
      </c>
      <c r="D40" s="23">
        <f t="shared" ref="D40:E40" si="4">H40/D41</f>
        <v>31.089947089947092</v>
      </c>
      <c r="E40" s="23">
        <f t="shared" si="4"/>
        <v>39.870090634441084</v>
      </c>
      <c r="G40" s="27">
        <v>129.93</v>
      </c>
      <c r="H40" s="28">
        <v>176.28</v>
      </c>
      <c r="I40" s="29">
        <v>131.97</v>
      </c>
    </row>
    <row r="41" spans="1:9" x14ac:dyDescent="0.3">
      <c r="A41" s="18">
        <f t="shared" ref="A41:A44" si="5">+A40+0.1</f>
        <v>5.1999999999999993</v>
      </c>
      <c r="B41" s="3" t="s">
        <v>131</v>
      </c>
      <c r="C41" s="23">
        <f>'Financial Statements'!B24</f>
        <v>6.15</v>
      </c>
      <c r="D41" s="23">
        <f>'Financial Statements'!C24</f>
        <v>5.67</v>
      </c>
      <c r="E41" s="23">
        <f>'Financial Statements'!D24</f>
        <v>3.31</v>
      </c>
    </row>
    <row r="42" spans="1:9" x14ac:dyDescent="0.3">
      <c r="A42" s="18">
        <f t="shared" si="5"/>
        <v>5.2999999999999989</v>
      </c>
      <c r="B42" s="1" t="s">
        <v>132</v>
      </c>
      <c r="C42" s="23">
        <f>G40/C43</f>
        <v>41.86165264189296</v>
      </c>
      <c r="D42" s="23">
        <f t="shared" ref="D42:E42" si="6">H40/D43</f>
        <v>47.122331927722307</v>
      </c>
      <c r="E42" s="23">
        <f t="shared" si="6"/>
        <v>35.403027312631046</v>
      </c>
    </row>
    <row r="43" spans="1:9" x14ac:dyDescent="0.3">
      <c r="A43" s="18">
        <f t="shared" si="5"/>
        <v>5.3999999999999986</v>
      </c>
      <c r="B43" s="3" t="s">
        <v>133</v>
      </c>
      <c r="C43" s="23">
        <f>'Financial Statements'!B68*1000/'Financial Statements'!B28</f>
        <v>3.1037952827971447</v>
      </c>
      <c r="D43" s="23">
        <f>'Financial Statements'!C68*1000/'Financial Statements'!C28</f>
        <v>3.740901453484597</v>
      </c>
      <c r="E43" s="23">
        <f>'Financial Statements'!D68*1000/'Financial Statements'!D28</f>
        <v>3.7276473233382479</v>
      </c>
    </row>
    <row r="44" spans="1:9" x14ac:dyDescent="0.3">
      <c r="A44" s="18">
        <f t="shared" si="5"/>
        <v>5.4999999999999982</v>
      </c>
      <c r="B44" s="1" t="s">
        <v>134</v>
      </c>
      <c r="C44" s="23">
        <f>C45/C41</f>
        <v>0.14781314993797964</v>
      </c>
      <c r="D44" s="23">
        <f t="shared" ref="D44:E44" si="7">D45/D41</f>
        <v>0.15129032746411561</v>
      </c>
      <c r="E44" s="23">
        <f t="shared" si="7"/>
        <v>0.24269891672071911</v>
      </c>
    </row>
    <row r="45" spans="1:9" x14ac:dyDescent="0.3">
      <c r="A45" s="18"/>
      <c r="B45" s="3" t="s">
        <v>135</v>
      </c>
      <c r="C45" s="23">
        <f>-'Financial Statements'!B102/'Financial Statements'!B28*1000</f>
        <v>0.90905087211857483</v>
      </c>
      <c r="D45" s="23">
        <f>-'Financial Statements'!C102/'Financial Statements'!C28*1000</f>
        <v>0.85781615672153544</v>
      </c>
      <c r="E45" s="23">
        <f>-'Financial Statements'!D102/'Financial Statements'!D28*1000</f>
        <v>0.80333341434558025</v>
      </c>
    </row>
    <row r="46" spans="1:9" x14ac:dyDescent="0.3">
      <c r="A46" s="18">
        <f>+A44+0.1</f>
        <v>5.5999999999999979</v>
      </c>
      <c r="B46" s="1" t="s">
        <v>136</v>
      </c>
      <c r="C46" s="36">
        <f>C44/G40</f>
        <v>1.1376368039558195E-3</v>
      </c>
      <c r="D46" s="36">
        <f t="shared" ref="D46:E46" si="8">D44/H40</f>
        <v>8.5823875348375086E-4</v>
      </c>
      <c r="E46" s="36">
        <f t="shared" si="8"/>
        <v>1.8390461220028726E-3</v>
      </c>
    </row>
    <row r="47" spans="1:9" x14ac:dyDescent="0.3">
      <c r="A47" s="18">
        <f t="shared" ref="A47:A50" si="9">+A45+0.1</f>
        <v>0.1</v>
      </c>
      <c r="B47" s="1" t="s">
        <v>137</v>
      </c>
      <c r="C47" s="36">
        <f>'Financial Statements'!B22/(('Financial Statements'!B68+'Financial Statements'!C68)/2)</f>
        <v>1.7545929220653644</v>
      </c>
      <c r="D47" s="36">
        <f>'Financial Statements'!C22/(('Financial Statements'!C68+'Financial Statements'!D68)/2)</f>
        <v>1.4744333444938449</v>
      </c>
      <c r="E47" s="36">
        <f>'Financial Statements'!D22/(('Financial Statements'!D68+'Financial Statements'!E68)/2)</f>
        <v>1.7573271706025497</v>
      </c>
    </row>
    <row r="48" spans="1:9" x14ac:dyDescent="0.3">
      <c r="A48" s="18">
        <f t="shared" si="9"/>
        <v>5.6999999999999975</v>
      </c>
      <c r="B48" s="1" t="s">
        <v>138</v>
      </c>
      <c r="C48" s="36">
        <f>C21/('Financial Statements'!B48-'Financial Statements'!B56)</f>
        <v>0.60087134570590572</v>
      </c>
      <c r="D48" s="36">
        <f>D21/('Financial Statements'!C48-'Financial Statements'!C56)</f>
        <v>0.48309913489209433</v>
      </c>
      <c r="E48" s="36">
        <f>E21/('Financial Statements'!D48-'Financial Statements'!D56)</f>
        <v>0.30338312829525482</v>
      </c>
    </row>
    <row r="49" spans="1:11" x14ac:dyDescent="0.3">
      <c r="A49" s="18">
        <f t="shared" si="9"/>
        <v>0.2</v>
      </c>
      <c r="B49" s="1" t="s">
        <v>128</v>
      </c>
      <c r="C49" s="36">
        <f>'Financial Statements'!B22/'Financial Statements'!B48</f>
        <v>0.28292440929256851</v>
      </c>
      <c r="D49" s="36">
        <f>'Financial Statements'!C22/'Financial Statements'!C48</f>
        <v>0.26974205275183616</v>
      </c>
      <c r="E49" s="36">
        <f>'Financial Statements'!D22/'Financial Statements'!D48</f>
        <v>0.1772557180259843</v>
      </c>
    </row>
    <row r="50" spans="1:11" x14ac:dyDescent="0.3">
      <c r="A50" s="18">
        <f t="shared" si="9"/>
        <v>5.7999999999999972</v>
      </c>
      <c r="B50" s="1" t="s">
        <v>139</v>
      </c>
      <c r="C50" s="37">
        <f>C51/C19</f>
        <v>16250.067822906214</v>
      </c>
      <c r="D50" s="37">
        <f t="shared" ref="D50:E50" si="10">D51/D19</f>
        <v>24727.252088195422</v>
      </c>
      <c r="E50" s="37">
        <f t="shared" si="10"/>
        <v>29908.820665856434</v>
      </c>
    </row>
    <row r="51" spans="1:11" x14ac:dyDescent="0.3">
      <c r="A51" s="18"/>
      <c r="B51" s="3" t="s">
        <v>140</v>
      </c>
      <c r="C51" s="37">
        <f>(G40*'Financial Statements'!B28)+('Financial Statements'!B55+'Financial Statements'!B59)-'Financial Statements'!B36</f>
        <v>2121300103.6700001</v>
      </c>
      <c r="D51" s="37">
        <f>(H40*'Financial Statements'!C28)+('Financial Statements'!C55+'Financial Statements'!C59)-'Financial Statements'!C36</f>
        <v>2973031700.3200002</v>
      </c>
      <c r="E51" s="37">
        <f>(I40*'Financial Statements'!D28)+('Financial Statements'!D55+'Financial Statements'!D59)-'Financial Statements'!D36</f>
        <v>2313267825.5799999</v>
      </c>
    </row>
    <row r="53" spans="1:11" ht="15" thickBot="1" x14ac:dyDescent="0.35"/>
    <row r="54" spans="1:11" ht="15" thickBot="1" x14ac:dyDescent="0.35">
      <c r="B54" s="40" t="s">
        <v>169</v>
      </c>
      <c r="C54" s="40">
        <v>2022</v>
      </c>
      <c r="D54" s="40">
        <v>2021</v>
      </c>
      <c r="E54" s="40">
        <v>2020</v>
      </c>
      <c r="H54" s="59" t="s">
        <v>163</v>
      </c>
      <c r="I54" s="60"/>
      <c r="J54" s="60"/>
      <c r="K54" s="61"/>
    </row>
    <row r="55" spans="1:11" x14ac:dyDescent="0.3">
      <c r="B55" s="39" t="s">
        <v>145</v>
      </c>
      <c r="H55" s="50" t="s">
        <v>165</v>
      </c>
      <c r="I55" s="51">
        <v>2019</v>
      </c>
      <c r="J55" s="52"/>
      <c r="K55" s="53"/>
    </row>
    <row r="56" spans="1:11" x14ac:dyDescent="0.3">
      <c r="B56" s="38" t="s">
        <v>4</v>
      </c>
      <c r="C56" s="36">
        <f>('Financial Statements'!B6-'Financial Statements'!C6)/'Financial Statements'!C6</f>
        <v>6.3239764351428418E-2</v>
      </c>
      <c r="D56" s="36">
        <f>('Financial Statements'!C6-'Financial Statements'!D6)/'Financial Statements'!D6</f>
        <v>0.34720743656765435</v>
      </c>
      <c r="E56" s="36">
        <f>('Financial Statements'!D6-I56)/I56</f>
        <v>3.2092312151970941E-2</v>
      </c>
      <c r="H56" s="54" t="s">
        <v>162</v>
      </c>
      <c r="I56" s="62">
        <v>213883</v>
      </c>
      <c r="J56" s="52"/>
      <c r="K56" s="53"/>
    </row>
    <row r="57" spans="1:11" x14ac:dyDescent="0.3">
      <c r="B57" s="38" t="s">
        <v>5</v>
      </c>
      <c r="C57" s="36">
        <f>('Financial Statements'!B7-'Financial Statements'!C7)/'Financial Statements'!C7</f>
        <v>0.14181951041286078</v>
      </c>
      <c r="D57" s="36">
        <f>('Financial Statements'!C7-'Financial Statements'!D7)/'Financial Statements'!D7</f>
        <v>0.27259708376729652</v>
      </c>
      <c r="E57" s="36">
        <f>('Financial Statements'!D7-I57)/I57</f>
        <v>0.16152167807997234</v>
      </c>
      <c r="H57" s="54" t="s">
        <v>5</v>
      </c>
      <c r="I57" s="62">
        <v>46291</v>
      </c>
      <c r="J57" s="52"/>
      <c r="K57" s="53"/>
    </row>
    <row r="58" spans="1:11" x14ac:dyDescent="0.3">
      <c r="B58" s="38" t="s">
        <v>155</v>
      </c>
      <c r="C58" s="36">
        <f>('Financial Statements'!B8-'Financial Statements'!C8)/'Financial Statements'!C8</f>
        <v>7.7937876041846058E-2</v>
      </c>
      <c r="D58" s="36">
        <f>('Financial Statements'!C8-'Financial Statements'!D8)/'Financial Statements'!D8</f>
        <v>0.33259384733074693</v>
      </c>
      <c r="E58" s="36">
        <f>('Financial Statements'!D8-I58)/I58</f>
        <v>5.5120803769784836E-2</v>
      </c>
      <c r="H58" s="54" t="s">
        <v>164</v>
      </c>
      <c r="I58" s="62">
        <v>260174</v>
      </c>
      <c r="J58" s="52"/>
      <c r="K58" s="53"/>
    </row>
    <row r="59" spans="1:11" x14ac:dyDescent="0.3">
      <c r="B59" s="17" t="s">
        <v>89</v>
      </c>
      <c r="C59" s="41"/>
      <c r="D59" s="41"/>
      <c r="E59" s="41"/>
      <c r="H59" s="50" t="s">
        <v>166</v>
      </c>
      <c r="I59" s="62"/>
      <c r="J59" s="52"/>
      <c r="K59" s="53"/>
    </row>
    <row r="60" spans="1:11" x14ac:dyDescent="0.3">
      <c r="B60" s="38" t="s">
        <v>4</v>
      </c>
      <c r="C60" s="36">
        <f>(('Financial Statements'!B6-'Financial Statements'!B10)-('Financial Statements'!C6-'Financial Statements'!C10))/('Financial Statements'!C6-'Financial Statements'!C10)</f>
        <v>9.1338013431501247E-2</v>
      </c>
      <c r="D60" s="36">
        <f>(('Financial Statements'!C6-'Financial Statements'!C10)-('Financial Statements'!D6-'Financial Statements'!D10))/('Financial Statements'!D6-'Financial Statements'!D10)</f>
        <v>0.51345359266350898</v>
      </c>
      <c r="E60" s="36">
        <f>(('Financial Statements'!D6-'Financial Statements'!D10)-(I56-I60))/(I56-I60)</f>
        <v>8.3324865359211461E-3</v>
      </c>
      <c r="H60" s="54" t="s">
        <v>4</v>
      </c>
      <c r="I60" s="62">
        <v>144996</v>
      </c>
      <c r="J60" s="52"/>
      <c r="K60" s="53"/>
    </row>
    <row r="61" spans="1:11" x14ac:dyDescent="0.3">
      <c r="B61" s="38" t="s">
        <v>5</v>
      </c>
      <c r="C61" s="36">
        <f>(('Financial Statements'!B7-'Financial Statements'!B11)-('Financial Statements'!C7-'Financial Statements'!C11))/('Financial Statements'!C7-'Financial Statements'!C11)</f>
        <v>0.17488996017606373</v>
      </c>
      <c r="D61" s="36">
        <f>(('Financial Statements'!C7-'Financial Statements'!C11)-('Financial Statements'!D7-'Financial Statements'!D11))/('Financial Statements'!D7-'Financial Statements'!D11)</f>
        <v>0.34413297647555996</v>
      </c>
      <c r="E61" s="36">
        <f>(('Financial Statements'!D7-'Financial Statements'!D11)-(I57-I61))/(I57-I61)</f>
        <v>0.20301643789188273</v>
      </c>
      <c r="H61" s="54" t="s">
        <v>5</v>
      </c>
      <c r="I61" s="62">
        <v>16786</v>
      </c>
      <c r="J61" s="52"/>
      <c r="K61" s="53"/>
    </row>
    <row r="62" spans="1:11" x14ac:dyDescent="0.3">
      <c r="B62" s="38" t="s">
        <v>155</v>
      </c>
      <c r="C62" s="36">
        <f>(('Financial Statements'!B8-'Financial Statements'!B12)-('Financial Statements'!C8-'Financial Statements'!C12))/('Financial Statements'!C8-'Financial Statements'!C12)</f>
        <v>0.11741997958596143</v>
      </c>
      <c r="D62" s="36">
        <f>(('Financial Statements'!C8-'Financial Statements'!C12)-('Financial Statements'!D8-'Financial Statements'!D12))/('Financial Statements'!D8-'Financial Statements'!D12)</f>
        <v>0.45619116582186819</v>
      </c>
      <c r="E62" s="36">
        <f>(('Financial Statements'!D8-'Financial Statements'!D12)-(I58-I62))/(I58-I62)</f>
        <v>6.6712740873241722E-2</v>
      </c>
      <c r="H62" s="54" t="s">
        <v>155</v>
      </c>
      <c r="I62" s="62">
        <v>161782</v>
      </c>
      <c r="J62" s="52"/>
      <c r="K62" s="53"/>
    </row>
    <row r="63" spans="1:11" x14ac:dyDescent="0.3">
      <c r="B63" s="17" t="s">
        <v>90</v>
      </c>
      <c r="C63" s="41"/>
      <c r="D63" s="41"/>
      <c r="E63" s="36"/>
      <c r="H63" s="50" t="s">
        <v>167</v>
      </c>
      <c r="I63" s="62"/>
      <c r="J63" s="52"/>
      <c r="K63" s="53"/>
    </row>
    <row r="64" spans="1:11" x14ac:dyDescent="0.3">
      <c r="B64" s="1" t="s">
        <v>11</v>
      </c>
      <c r="C64" s="36">
        <f>('Financial Statements'!B15-'Financial Statements'!C15)/'Financial Statements'!C15</f>
        <v>0.19791001186456147</v>
      </c>
      <c r="D64" s="36">
        <f>('Financial Statements'!C15-'Financial Statements'!D15)/'Financial Statements'!D15</f>
        <v>0.16862201365187712</v>
      </c>
      <c r="E64" s="36">
        <f>('Financial Statements'!D15-I64)/I64</f>
        <v>0.15631744465684158</v>
      </c>
      <c r="H64" s="54" t="s">
        <v>11</v>
      </c>
      <c r="I64" s="62">
        <v>16217</v>
      </c>
      <c r="J64" s="52"/>
      <c r="K64" s="53"/>
    </row>
    <row r="65" spans="2:11" x14ac:dyDescent="0.3">
      <c r="B65" s="1" t="s">
        <v>12</v>
      </c>
      <c r="C65" s="36">
        <f>('Financial Statements'!B16-'Financial Statements'!C16)/'Financial Statements'!C16</f>
        <v>0.14203795567287125</v>
      </c>
      <c r="D65" s="36">
        <f>('Financial Statements'!C16-'Financial Statements'!D16)/'Financial Statements'!D16</f>
        <v>0.10328379192608958</v>
      </c>
      <c r="E65" s="36">
        <f>('Financial Statements'!D16-I65)/I65</f>
        <v>9.1586736092080026E-2</v>
      </c>
      <c r="H65" s="54" t="s">
        <v>12</v>
      </c>
      <c r="I65" s="62">
        <v>18245</v>
      </c>
      <c r="J65" s="52"/>
      <c r="K65" s="53"/>
    </row>
    <row r="66" spans="2:11" x14ac:dyDescent="0.3">
      <c r="B66" s="1" t="s">
        <v>159</v>
      </c>
      <c r="C66" s="36">
        <f>('Financial Statements'!B17-'Financial Statements'!C17)/'Financial Statements'!C17</f>
        <v>0.16993642764372138</v>
      </c>
      <c r="D66" s="36">
        <f>('Financial Statements'!C17-'Financial Statements'!D17)/'Financial Statements'!D17</f>
        <v>0.13496948381090307</v>
      </c>
      <c r="E66" s="36">
        <f>('Financial Statements'!D17-I66)/I66</f>
        <v>0.12204747257849226</v>
      </c>
      <c r="H66" s="54" t="s">
        <v>159</v>
      </c>
      <c r="I66" s="62">
        <v>34462</v>
      </c>
      <c r="J66" s="52"/>
      <c r="K66" s="53"/>
    </row>
    <row r="67" spans="2:11" x14ac:dyDescent="0.3">
      <c r="B67" s="17" t="s">
        <v>91</v>
      </c>
      <c r="C67" s="41"/>
      <c r="D67" s="41"/>
      <c r="E67" s="41"/>
      <c r="H67" s="50" t="s">
        <v>168</v>
      </c>
      <c r="I67" s="62"/>
      <c r="J67" s="52"/>
      <c r="K67" s="53"/>
    </row>
    <row r="68" spans="2:11" x14ac:dyDescent="0.3">
      <c r="B68" t="s">
        <v>156</v>
      </c>
      <c r="C68" s="36">
        <f>('Financial Statements'!B48-'Financial Statements'!C48)/'Financial Statements'!C48</f>
        <v>4.9942735369029236E-3</v>
      </c>
      <c r="D68" s="36">
        <f>('Financial Statements'!C48-'Financial Statements'!D48)/'Financial Statements'!D48</f>
        <v>8.3714123400681711E-2</v>
      </c>
      <c r="E68" s="36">
        <f>('Financial Statements'!D48-I68)/I68</f>
        <v>-4.3212137683300053E-2</v>
      </c>
      <c r="H68" s="55" t="s">
        <v>156</v>
      </c>
      <c r="I68" s="62">
        <v>338516</v>
      </c>
      <c r="J68" s="52"/>
      <c r="K68" s="53"/>
    </row>
    <row r="69" spans="2:11" x14ac:dyDescent="0.3">
      <c r="B69" t="s">
        <v>157</v>
      </c>
      <c r="C69" s="36">
        <f>('Financial Statements'!B56-'Financial Statements'!C56)/'Financial Statements'!C56</f>
        <v>0.22713398841258836</v>
      </c>
      <c r="D69" s="36">
        <f>('Financial Statements'!C56-'Financial Statements'!D56)/'Financial Statements'!D56</f>
        <v>0.19061219067860938</v>
      </c>
      <c r="E69" s="36">
        <f>('Financial Statements'!D62-'List of Ratios'!I69)/'List of Ratios'!I69</f>
        <v>4.2418597900237068E-2</v>
      </c>
      <c r="H69" s="55" t="s">
        <v>157</v>
      </c>
      <c r="I69" s="62">
        <v>248028</v>
      </c>
      <c r="J69" s="52"/>
      <c r="K69" s="53"/>
    </row>
    <row r="70" spans="2:11" ht="15" thickBot="1" x14ac:dyDescent="0.35">
      <c r="B70" t="s">
        <v>158</v>
      </c>
      <c r="C70" s="36">
        <f>('Financial Statements'!B68-'Financial Statements'!C68)/'Financial Statements'!C68</f>
        <v>-0.19682992550324932</v>
      </c>
      <c r="D70" s="36">
        <f>('Financial Statements'!C68-'Financial Statements'!D68)/'Financial Statements'!D68</f>
        <v>-3.4420483937617659E-2</v>
      </c>
      <c r="E70" s="36">
        <f>('Financial Statements'!D68-'List of Ratios'!I70)/'List of Ratios'!I70</f>
        <v>-0.27792635487578465</v>
      </c>
      <c r="H70" s="56" t="s">
        <v>158</v>
      </c>
      <c r="I70" s="63">
        <v>90488</v>
      </c>
      <c r="J70" s="57"/>
      <c r="K70" s="58"/>
    </row>
    <row r="71" spans="2:11" x14ac:dyDescent="0.3">
      <c r="B71" s="7"/>
      <c r="C71" s="7"/>
      <c r="D71" s="7"/>
      <c r="E71" s="7"/>
    </row>
    <row r="72" spans="2:11" ht="15" thickBot="1" x14ac:dyDescent="0.35">
      <c r="B72" s="40" t="s">
        <v>161</v>
      </c>
      <c r="C72" s="40">
        <v>2022</v>
      </c>
      <c r="D72" s="40">
        <v>2021</v>
      </c>
      <c r="E72" s="40">
        <v>2020</v>
      </c>
    </row>
    <row r="73" spans="2:11" x14ac:dyDescent="0.3">
      <c r="B73" s="1" t="s">
        <v>146</v>
      </c>
      <c r="C73" s="36">
        <f>'Financial Statements'!B12/'Financial Statements'!B8</f>
        <v>0.56690369438639909</v>
      </c>
      <c r="D73" s="36">
        <f>'Financial Statements'!C12/'Financial Statements'!C8</f>
        <v>0.58220640374832222</v>
      </c>
      <c r="E73" s="36">
        <f>'Financial Statements'!D12/'Financial Statements'!D8</f>
        <v>0.61766752272189129</v>
      </c>
    </row>
    <row r="74" spans="2:11" x14ac:dyDescent="0.3">
      <c r="B74" s="1" t="s">
        <v>89</v>
      </c>
      <c r="C74" s="36">
        <f>('Financial Statements'!B8-'Financial Statements'!B12)/'Financial Statements'!B8</f>
        <v>0.43309630561360085</v>
      </c>
      <c r="D74" s="36">
        <f>('Financial Statements'!C8-'Financial Statements'!C12)/'Financial Statements'!C8</f>
        <v>0.41779359625167778</v>
      </c>
      <c r="E74" s="36">
        <f>('Financial Statements'!D8-'Financial Statements'!D12)/'Financial Statements'!D8</f>
        <v>0.38233247727810865</v>
      </c>
    </row>
    <row r="75" spans="2:11" x14ac:dyDescent="0.3">
      <c r="B75" s="1" t="s">
        <v>90</v>
      </c>
    </row>
    <row r="76" spans="2:11" x14ac:dyDescent="0.3">
      <c r="B76" s="3" t="s">
        <v>11</v>
      </c>
      <c r="C76" s="36">
        <f>'Financial Statements'!B15/'Financial Statements'!B8</f>
        <v>6.657148363798665E-2</v>
      </c>
      <c r="D76" s="36">
        <f>'Financial Statements'!C15/'Financial Statements'!C8</f>
        <v>5.9904269074427925E-2</v>
      </c>
      <c r="E76" s="36">
        <f>'Financial Statements'!D15/'Financial Statements'!D8</f>
        <v>6.8309564140393061E-2</v>
      </c>
    </row>
    <row r="77" spans="2:11" x14ac:dyDescent="0.3">
      <c r="B77" s="3" t="s">
        <v>12</v>
      </c>
      <c r="C77" s="36">
        <f>'Financial Statements'!B16/'Financial Statements'!B8</f>
        <v>6.3637378020328261E-2</v>
      </c>
      <c r="D77" s="36">
        <f>'Financial Statements'!C16/'Financial Statements'!C8</f>
        <v>6.006555190163388E-2</v>
      </c>
      <c r="E77" s="36">
        <f>'Financial Statements'!D16/'Financial Statements'!D8</f>
        <v>7.2549769593646979E-2</v>
      </c>
    </row>
    <row r="78" spans="2:11" x14ac:dyDescent="0.3">
      <c r="B78" s="3" t="s">
        <v>159</v>
      </c>
      <c r="C78" s="36">
        <f>'Financial Statements'!B17/'Financial Statements'!B8</f>
        <v>0.13020886165831491</v>
      </c>
      <c r="D78" s="36">
        <f>'Financial Statements'!C17/'Financial Statements'!C8</f>
        <v>0.11996982097606181</v>
      </c>
      <c r="E78" s="36">
        <f>'Financial Statements'!D17/'Financial Statements'!D8</f>
        <v>0.14085933373404003</v>
      </c>
    </row>
    <row r="79" spans="2:11" x14ac:dyDescent="0.3">
      <c r="B79" s="1" t="s">
        <v>14</v>
      </c>
      <c r="C79" s="36">
        <f>'Financial Statements'!B18/'Financial Statements'!B8</f>
        <v>0.30288744395528594</v>
      </c>
      <c r="D79" s="36">
        <f>'Financial Statements'!C18/'Financial Statements'!C8</f>
        <v>0.29782377527561593</v>
      </c>
      <c r="E79" s="36">
        <f>'Financial Statements'!D18/'Financial Statements'!D8</f>
        <v>0.24147314354406862</v>
      </c>
    </row>
    <row r="80" spans="2:11" x14ac:dyDescent="0.3">
      <c r="B80" s="1" t="s">
        <v>93</v>
      </c>
      <c r="C80" s="36">
        <f>'Financial Statements'!B22/'Financial Statements'!B8</f>
        <v>0.25309640705199732</v>
      </c>
      <c r="D80" s="36">
        <f>'Financial Statements'!C22/'Financial Statements'!C8</f>
        <v>0.25881793355694238</v>
      </c>
      <c r="E80" s="36">
        <f>'Financial Statements'!D22/'Financial Statements'!D8</f>
        <v>0.20913611278072236</v>
      </c>
    </row>
    <row r="82" spans="2:5" ht="15" thickBot="1" x14ac:dyDescent="0.35">
      <c r="B82" s="40" t="s">
        <v>160</v>
      </c>
      <c r="C82" s="40">
        <v>2022</v>
      </c>
      <c r="D82" s="40">
        <v>2021</v>
      </c>
      <c r="E82" s="40">
        <v>2020</v>
      </c>
    </row>
    <row r="83" spans="2:5" x14ac:dyDescent="0.3">
      <c r="B83" s="1" t="s">
        <v>94</v>
      </c>
      <c r="C83" s="24">
        <f>'Financial Statements'!B21/'Financial Statements'!B20</f>
        <v>0.16204461684424407</v>
      </c>
      <c r="D83" s="24">
        <f>'Financial Statements'!C21/'Financial Statements'!C20</f>
        <v>0.13302260844085087</v>
      </c>
      <c r="E83" s="24">
        <f>'Financial Statements'!D21/'Financial Statements'!D20</f>
        <v>0.14428164731484103</v>
      </c>
    </row>
    <row r="84" spans="2:5" x14ac:dyDescent="0.3">
      <c r="B84" s="1" t="s">
        <v>95</v>
      </c>
      <c r="C84" s="36">
        <f>-'Financial Statements'!B99/'Financial Statements'!B8</f>
        <v>5.6688847862692987E-2</v>
      </c>
      <c r="D84" s="36">
        <f>-'Financial Statements'!C99/'Financial Statements'!C8</f>
        <v>3.9760317317128507E-2</v>
      </c>
      <c r="E84" s="36">
        <f>-'Financial Statements'!D99/'Financial Statements'!D8</f>
        <v>1.5623918547256069E-2</v>
      </c>
    </row>
    <row r="85" spans="2:5" x14ac:dyDescent="0.3">
      <c r="B85" s="1" t="s">
        <v>96</v>
      </c>
      <c r="C85" s="36">
        <f>-'Financial Statements'!B99/'Financial Statements'!B47</f>
        <v>0.10284794110881068</v>
      </c>
      <c r="D85" s="36">
        <f>-'Financial Statements'!C99/'Financial Statements'!C47</f>
        <v>6.7286252232080901E-2</v>
      </c>
      <c r="E85" s="36">
        <f>-'Financial Statements'!D99/'Financial Statements'!D47</f>
        <v>2.3804634383238519E-2</v>
      </c>
    </row>
  </sheetData>
  <mergeCells count="3">
    <mergeCell ref="C2:E2"/>
    <mergeCell ref="G38:I38"/>
    <mergeCell ref="H54:K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Sarah Jennings</cp:lastModifiedBy>
  <dcterms:created xsi:type="dcterms:W3CDTF">2020-05-18T16:32:37Z</dcterms:created>
  <dcterms:modified xsi:type="dcterms:W3CDTF">2023-12-04T12:39:50Z</dcterms:modified>
</cp:coreProperties>
</file>