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erma\Downloads\"/>
    </mc:Choice>
  </mc:AlternateContent>
  <xr:revisionPtr revIDLastSave="0" documentId="8_{A6A572ED-443B-4292-9D0E-F0180D8002F2}" xr6:coauthVersionLast="47" xr6:coauthVersionMax="47" xr10:uidLastSave="{00000000-0000-0000-0000-000000000000}"/>
  <bookViews>
    <workbookView xWindow="-120" yWindow="-120" windowWidth="20730" windowHeight="11040" firstSheet="1" activeTab="1" xr2:uid="{00000000-000D-0000-FFFF-FFFF00000000}"/>
  </bookViews>
  <sheets>
    <sheet name="Instructions" sheetId="2" r:id="rId1"/>
    <sheet name="List of Ratios" sheetId="3" r:id="rId2"/>
    <sheet name="Additional calculations" sheetId="4" r:id="rId3"/>
    <sheet name="Financial Statements" sheetId="1"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3" l="1"/>
  <c r="D12" i="3"/>
  <c r="C12" i="3"/>
  <c r="E43" i="3"/>
  <c r="D43" i="3"/>
  <c r="C43" i="3"/>
  <c r="E45" i="3"/>
  <c r="D45" i="3"/>
  <c r="C45" i="3"/>
  <c r="F6" i="4"/>
  <c r="C6" i="4"/>
  <c r="F4" i="4"/>
  <c r="C4" i="4"/>
  <c r="D192" i="1"/>
  <c r="E51" i="3"/>
  <c r="D51" i="3"/>
  <c r="C51" i="3"/>
  <c r="E50" i="3"/>
  <c r="D50" i="3"/>
  <c r="C50" i="3"/>
  <c r="E48" i="3"/>
  <c r="D48" i="3"/>
  <c r="C48" i="3"/>
  <c r="E47" i="3"/>
  <c r="D47" i="3"/>
  <c r="C47" i="3"/>
  <c r="E46" i="3"/>
  <c r="C46" i="3"/>
  <c r="D46" i="3"/>
  <c r="C44" i="3"/>
  <c r="E44" i="3"/>
  <c r="D44" i="3"/>
  <c r="E42" i="3"/>
  <c r="D42" i="3"/>
  <c r="C42" i="3"/>
  <c r="E41" i="3"/>
  <c r="E54" i="3" l="1"/>
  <c r="E55" i="3"/>
  <c r="D55" i="3"/>
  <c r="D54" i="3"/>
  <c r="E40" i="3"/>
  <c r="D40" i="3"/>
  <c r="C40" i="3"/>
  <c r="B154" i="1"/>
  <c r="D108" i="1" l="1"/>
  <c r="C108" i="1"/>
  <c r="B108" i="1"/>
  <c r="D99" i="1"/>
  <c r="C99" i="1"/>
  <c r="B99" i="1"/>
  <c r="D68" i="1" l="1"/>
  <c r="E25" i="3" s="1"/>
  <c r="C68" i="1"/>
  <c r="D25" i="3" s="1"/>
  <c r="B68" i="1"/>
  <c r="C25" i="3" s="1"/>
  <c r="D61" i="1"/>
  <c r="C61" i="1"/>
  <c r="B61" i="1"/>
  <c r="D56" i="1"/>
  <c r="C56" i="1"/>
  <c r="B56" i="1"/>
  <c r="D47" i="1"/>
  <c r="C47" i="1"/>
  <c r="B47" i="1"/>
  <c r="D42" i="1"/>
  <c r="C42" i="1"/>
  <c r="B42" i="1"/>
  <c r="D17" i="1"/>
  <c r="C17" i="1"/>
  <c r="B17" i="1"/>
  <c r="D12" i="1"/>
  <c r="C12" i="1"/>
  <c r="B12" i="1"/>
  <c r="D8" i="1"/>
  <c r="C8" i="1"/>
  <c r="B8" i="1"/>
  <c r="E3" i="3"/>
  <c r="D3" i="3"/>
  <c r="C3" i="3"/>
  <c r="D33" i="1"/>
  <c r="D73" i="1" s="1"/>
  <c r="C33" i="1"/>
  <c r="C73" i="1" s="1"/>
  <c r="B33" i="1"/>
  <c r="B73" i="1" s="1"/>
  <c r="C8" i="3" l="1"/>
  <c r="D8" i="3"/>
  <c r="E8" i="3"/>
  <c r="C81" i="3"/>
  <c r="D52" i="3"/>
  <c r="C80" i="3"/>
  <c r="C76" i="3"/>
  <c r="C9" i="3"/>
  <c r="C10" i="3"/>
  <c r="E80" i="3"/>
  <c r="E81" i="3"/>
  <c r="E53" i="3"/>
  <c r="D76" i="3"/>
  <c r="C14" i="3"/>
  <c r="D81" i="3"/>
  <c r="D80" i="3"/>
  <c r="E52" i="3"/>
  <c r="E76" i="3"/>
  <c r="D14" i="3"/>
  <c r="E14" i="3"/>
  <c r="B152" i="1"/>
  <c r="C13" i="1"/>
  <c r="D35" i="3"/>
  <c r="D11" i="3"/>
  <c r="D17" i="3"/>
  <c r="E36" i="3"/>
  <c r="E9" i="3"/>
  <c r="E10" i="3"/>
  <c r="B48" i="1"/>
  <c r="C13" i="3"/>
  <c r="C5" i="3"/>
  <c r="E6" i="3"/>
  <c r="E7" i="3"/>
  <c r="C11" i="3"/>
  <c r="C17" i="3"/>
  <c r="C35" i="3"/>
  <c r="C62" i="1"/>
  <c r="D6" i="3"/>
  <c r="D7" i="3"/>
  <c r="D13" i="1"/>
  <c r="E11" i="3"/>
  <c r="E17" i="3"/>
  <c r="E35" i="3"/>
  <c r="D13" i="3"/>
  <c r="D5" i="3"/>
  <c r="D9" i="3"/>
  <c r="D10" i="3"/>
  <c r="D36" i="3"/>
  <c r="C36" i="3"/>
  <c r="E13" i="3"/>
  <c r="E5" i="3"/>
  <c r="C6" i="3"/>
  <c r="C7" i="3"/>
  <c r="B13" i="1"/>
  <c r="B62" i="1"/>
  <c r="C48" i="1"/>
  <c r="D26" i="3" s="1"/>
  <c r="D62" i="1"/>
  <c r="D48" i="1"/>
  <c r="A47" i="3"/>
  <c r="A49" i="3" s="1"/>
  <c r="A16" i="3"/>
  <c r="A17" i="3" s="1"/>
  <c r="A18" i="3" s="1"/>
  <c r="A20" i="3" s="1"/>
  <c r="A22" i="3" s="1"/>
  <c r="A5" i="3"/>
  <c r="A6" i="3" s="1"/>
  <c r="A7" i="3" s="1"/>
  <c r="A8" i="3" s="1"/>
  <c r="A9" i="3" s="1"/>
  <c r="A10" i="3" s="1"/>
  <c r="A11" i="3" s="1"/>
  <c r="A12" i="3" s="1"/>
  <c r="A13" i="3" s="1"/>
  <c r="E26" i="3" l="1"/>
  <c r="E34" i="3"/>
  <c r="C34" i="3"/>
  <c r="C26" i="3"/>
  <c r="E79" i="3"/>
  <c r="D57" i="3"/>
  <c r="E57" i="3"/>
  <c r="C79" i="3"/>
  <c r="D53" i="3"/>
  <c r="D56" i="3"/>
  <c r="D79" i="3"/>
  <c r="E56" i="3"/>
  <c r="D34" i="3"/>
  <c r="B69" i="1"/>
  <c r="C27" i="3" s="1"/>
  <c r="B18" i="1"/>
  <c r="C18" i="1"/>
  <c r="B153" i="1"/>
  <c r="D18" i="1"/>
  <c r="C20" i="1"/>
  <c r="B9" i="4" s="1"/>
  <c r="D69" i="1"/>
  <c r="E27" i="3" s="1"/>
  <c r="C69" i="1"/>
  <c r="D27" i="3" s="1"/>
  <c r="A24" i="3"/>
  <c r="A25" i="3" s="1"/>
  <c r="A26" i="3" s="1"/>
  <c r="A27" i="3" s="1"/>
  <c r="A28" i="3" s="1"/>
  <c r="A29" i="3" s="1"/>
  <c r="A30" i="3" s="1"/>
  <c r="E29" i="3" l="1"/>
  <c r="E28" i="3"/>
  <c r="D29" i="3"/>
  <c r="D28" i="3"/>
  <c r="D21" i="3"/>
  <c r="C29" i="3"/>
  <c r="C28" i="3"/>
  <c r="C21" i="3"/>
  <c r="C20" i="3"/>
  <c r="D58" i="3"/>
  <c r="E20" i="3"/>
  <c r="E58" i="3"/>
  <c r="E18" i="3"/>
  <c r="E77" i="3"/>
  <c r="E19" i="3"/>
  <c r="E21" i="3"/>
  <c r="D18" i="3"/>
  <c r="D19" i="3"/>
  <c r="D77" i="3"/>
  <c r="C77" i="3"/>
  <c r="C18" i="3"/>
  <c r="C19" i="3"/>
  <c r="D20" i="3"/>
  <c r="D49" i="3"/>
  <c r="B20" i="1"/>
  <c r="B8" i="4" s="1"/>
  <c r="D20" i="1"/>
  <c r="B10" i="4" s="1"/>
  <c r="A33" i="3"/>
  <c r="A34" i="3" s="1"/>
  <c r="A35" i="3" s="1"/>
  <c r="A36" i="3" s="1"/>
  <c r="A37" i="3" s="1"/>
  <c r="C22" i="1"/>
  <c r="D41" i="3" s="1"/>
  <c r="A39" i="3"/>
  <c r="A40" i="3" s="1"/>
  <c r="A41" i="3" s="1"/>
  <c r="A42" i="3" s="1"/>
  <c r="A43" i="3" s="1"/>
  <c r="A44" i="3" s="1"/>
  <c r="A46" i="3" s="1"/>
  <c r="A48" i="3" s="1"/>
  <c r="A50" i="3" s="1"/>
  <c r="D78" i="3" l="1"/>
  <c r="E49" i="3"/>
  <c r="C49" i="3"/>
  <c r="B22" i="1"/>
  <c r="C41" i="3" s="1"/>
  <c r="D22" i="1"/>
  <c r="D76" i="1"/>
  <c r="D91" i="1" s="1"/>
  <c r="E37" i="3"/>
  <c r="C76" i="1"/>
  <c r="C91" i="1" s="1"/>
  <c r="D37" i="3"/>
  <c r="D22" i="3"/>
  <c r="E22" i="3" l="1"/>
  <c r="C22" i="3"/>
  <c r="C78" i="3"/>
  <c r="D109" i="1"/>
  <c r="E30" i="3"/>
  <c r="E31" i="3"/>
  <c r="C109" i="1"/>
  <c r="D30" i="3"/>
  <c r="D31" i="3"/>
  <c r="E78" i="3"/>
  <c r="C37" i="3"/>
  <c r="B76" i="1"/>
  <c r="B91" i="1" s="1"/>
  <c r="B109" i="1" l="1"/>
  <c r="C30" i="3"/>
  <c r="C31" i="3"/>
</calcChain>
</file>

<file path=xl/sharedStrings.xml><?xml version="1.0" encoding="utf-8"?>
<sst xmlns="http://schemas.openxmlformats.org/spreadsheetml/2006/main" count="329" uniqueCount="279">
  <si>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</si>
  <si>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</si>
  <si>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</si>
  <si>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</si>
  <si>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</si>
  <si>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</si>
  <si>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</si>
  <si>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</si>
  <si>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</si>
  <si>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</si>
  <si>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</si>
  <si>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</si>
  <si>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</si>
  <si>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</si>
  <si>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</si>
  <si>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</si>
  <si>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</si>
  <si>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</si>
  <si>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</si>
  <si>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</si>
  <si>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</si>
  <si>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</si>
  <si>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</si>
  <si>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</si>
  <si>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</si>
  <si>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</si>
  <si>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</si>
  <si>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</si>
  <si>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</si>
  <si>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</si>
  <si>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</si>
  <si>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</si>
  <si>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</si>
  <si>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</si>
  <si>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</si>
  <si>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</si>
  <si>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</si>
  <si>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</si>
  <si>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</si>
  <si>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</si>
  <si>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</si>
  <si>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</si>
  <si>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</si>
  <si>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</si>
  <si>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</si>
  <si>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</si>
  <si>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</si>
  <si>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</si>
  <si>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</si>
  <si>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</si>
  <si>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</si>
  <si>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</si>
  <si>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</si>
  <si>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</si>
  <si>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</si>
  <si>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</si>
  <si>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</si>
  <si>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</si>
  <si>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</si>
  <si>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</si>
  <si>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</si>
  <si>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</si>
  <si>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</si>
  <si>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</si>
  <si>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</si>
  <si>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</si>
  <si>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</si>
  <si>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</si>
  <si>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</si>
  <si>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</si>
  <si>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</si>
  <si>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</si>
  <si>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</si>
  <si>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</si>
  <si>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</si>
  <si>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</si>
  <si>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</si>
  <si>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</si>
  <si>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</si>
  <si>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</si>
  <si>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</si>
  <si>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</si>
  <si>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</si>
  <si>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</si>
  <si>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</si>
  <si>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</si>
  <si>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</si>
  <si>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</si>
  <si>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</si>
  <si>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</si>
  <si>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</si>
  <si>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</si>
  <si>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</si>
  <si>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</si>
  <si>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</si>
  <si>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</si>
  <si>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</si>
  <si>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</si>
  <si>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</si>
  <si>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</si>
  <si>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</si>
  <si>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</si>
  <si>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</si>
  <si>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Profitability</t>
  </si>
  <si>
    <t>EBITDA margin</t>
  </si>
  <si>
    <t>EBITDA</t>
  </si>
  <si>
    <t>EBIT margin</t>
  </si>
  <si>
    <t>EBIT</t>
  </si>
  <si>
    <t>Net margin</t>
  </si>
  <si>
    <t>Solvency/ debt management</t>
  </si>
  <si>
    <t>Debt to total assets</t>
  </si>
  <si>
    <t>FCFE</t>
  </si>
  <si>
    <t>Asset utilization</t>
  </si>
  <si>
    <t>Fixed asset turnover</t>
  </si>
  <si>
    <t>Inventory turnover</t>
  </si>
  <si>
    <t>Return on assets (ROA)</t>
  </si>
  <si>
    <t>Investor/market ratios</t>
  </si>
  <si>
    <t>Price to equity (P/E)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</si>
  <si>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</si>
  <si>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</si>
  <si>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</si>
  <si>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</si>
  <si>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</si>
  <si>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</si>
  <si>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</si>
  <si>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</si>
  <si>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</si>
  <si>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</si>
  <si>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</si>
  <si>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selling and general admin</t>
  </si>
  <si>
    <t>operating income</t>
  </si>
  <si>
    <t xml:space="preserve">Capex as % of net sales </t>
  </si>
  <si>
    <t xml:space="preserve">income tax rate </t>
  </si>
  <si>
    <t>current ratio</t>
  </si>
  <si>
    <t>quick ratio</t>
  </si>
  <si>
    <t>cash ratio</t>
  </si>
  <si>
    <t>defensive interval</t>
  </si>
  <si>
    <t>inventory days</t>
  </si>
  <si>
    <t>payable days</t>
  </si>
  <si>
    <t>receivable days</t>
  </si>
  <si>
    <t xml:space="preserve">net trading cycle </t>
  </si>
  <si>
    <t>working capital as a % of sales</t>
  </si>
  <si>
    <t xml:space="preserve">total asset tunover </t>
  </si>
  <si>
    <t>fixed asset turnover</t>
  </si>
  <si>
    <t>inventory turnover</t>
  </si>
  <si>
    <t>ROA</t>
  </si>
  <si>
    <t>gross margin</t>
  </si>
  <si>
    <t>lt debt to capital</t>
  </si>
  <si>
    <t>debt to equity</t>
  </si>
  <si>
    <t>debt coverage</t>
  </si>
  <si>
    <t>net margin</t>
  </si>
  <si>
    <t>EPS</t>
  </si>
  <si>
    <t>P/E</t>
  </si>
  <si>
    <t>PBV</t>
  </si>
  <si>
    <t>dividend payout ratio</t>
  </si>
  <si>
    <t>BVPS</t>
  </si>
  <si>
    <t>ROCE</t>
  </si>
  <si>
    <t>dividen yield</t>
  </si>
  <si>
    <t xml:space="preserve">EV </t>
  </si>
  <si>
    <t>EV TO EBIT</t>
  </si>
  <si>
    <t xml:space="preserve">ROA </t>
  </si>
  <si>
    <t>div per share</t>
  </si>
  <si>
    <t>TIE</t>
  </si>
  <si>
    <t>ROE</t>
  </si>
  <si>
    <t xml:space="preserve">sales growth rate </t>
  </si>
  <si>
    <t>R&amp;D</t>
  </si>
  <si>
    <t>Selling and admin</t>
  </si>
  <si>
    <t>total assets</t>
  </si>
  <si>
    <t>total liabilites</t>
  </si>
  <si>
    <t>total shareholders and liabilities</t>
  </si>
  <si>
    <t>growrth margin as a % of net sales</t>
  </si>
  <si>
    <t>COGS</t>
  </si>
  <si>
    <t>net profit</t>
  </si>
  <si>
    <t>Gross profit</t>
  </si>
  <si>
    <t xml:space="preserve">Research and development </t>
  </si>
  <si>
    <t>R AND D</t>
  </si>
  <si>
    <t>OPERATINg income</t>
  </si>
  <si>
    <t xml:space="preserve">total assets </t>
  </si>
  <si>
    <t>total liabilities</t>
  </si>
  <si>
    <t xml:space="preserve">total shareholders equity </t>
  </si>
  <si>
    <t>Current Assets / Daily Operational Expenses where Daily Operational Expenses = (Annual Operating Expenses - Noncash Charges) / 365</t>
  </si>
  <si>
    <t>Inventory Days + Inventory Days - Payable Days calculated from the rows above</t>
  </si>
  <si>
    <t>Calculate total working capital from here</t>
  </si>
  <si>
    <t>Link operating income in row 18</t>
  </si>
  <si>
    <t>Calculate EBITDA number here</t>
  </si>
  <si>
    <t>Include only term debt instead of total liabilities, since differed revenue is not an actual form of capital</t>
  </si>
  <si>
    <t>EBIT/(interest paid + debt repayment)  debt repayment can be found in cash flow statement</t>
  </si>
  <si>
    <t>EBIT/(interest paid )  cash interest can be found in cash flow statement</t>
  </si>
  <si>
    <t>FCFE/(diluted number of shares/1000)</t>
  </si>
  <si>
    <t>Link total assets instead of current asset</t>
  </si>
  <si>
    <t>Share Price / Diluted EPS</t>
  </si>
  <si>
    <t>Net income/ Diluted number of Shares (note that the share count is in absolute number and income statement is in millions, therefore divide the shares by 1000)</t>
  </si>
  <si>
    <t>Share Price / Book Value per Share</t>
  </si>
  <si>
    <t>Total shareholder equity/ Diluted number of Shares (note that the share count is in absolute number and income statement is in millions, therefore divide the shares by 1000)</t>
  </si>
  <si>
    <t>Dividend Paid / Net Income</t>
  </si>
  <si>
    <t>Dividend Paid (can be found in cash flow)/ Diluted number of Shares (note that the share count is in absolute number and income statement is in millions, therefore divide the shares by 1000)</t>
  </si>
  <si>
    <t>Dividend Per Share / Share Price</t>
  </si>
  <si>
    <t>EBIT / Capital Employed where Capital employed = Total shareholder equity + Term debt (under non-current liability)</t>
  </si>
  <si>
    <t>EV / EBITDA</t>
  </si>
  <si>
    <t>Market Cap + Total Debt - (Cash + Cash Equivalents), where Market Cap= Share price*Diluted number of shares/1000</t>
  </si>
  <si>
    <t>EBIT/Total shareholder equity</t>
  </si>
  <si>
    <t>Remove multiplication by 100 and use the % formatting instead for all the rows below</t>
  </si>
  <si>
    <t>Tax /PBT</t>
  </si>
  <si>
    <t>Capex is the purchase of property plant and equipment in cash flow statement</t>
  </si>
  <si>
    <t>Link operating income in row 18 instead of profit before tax</t>
  </si>
  <si>
    <t>Cash from operations + Capex + Net debt issued  (capex is the purchase of property plant and equipment in cash flow statement)</t>
  </si>
  <si>
    <t>Feedback</t>
  </si>
  <si>
    <t>working capital</t>
  </si>
  <si>
    <t xml:space="preserve">total asset turnover </t>
  </si>
  <si>
    <t>price to book value share</t>
  </si>
  <si>
    <t xml:space="preserve">dividend per share </t>
  </si>
  <si>
    <t>Debt to equity D/E</t>
  </si>
  <si>
    <t>Long term debt to capital</t>
  </si>
  <si>
    <t xml:space="preserve">Debt coverage </t>
  </si>
  <si>
    <t>Book value per share (BV)**</t>
  </si>
  <si>
    <t xml:space="preserve">dividend yield </t>
  </si>
  <si>
    <t xml:space="preserve">ROCE </t>
  </si>
  <si>
    <t>FCFE per share</t>
  </si>
  <si>
    <t>EV</t>
  </si>
  <si>
    <t>Enterprise value</t>
  </si>
  <si>
    <t xml:space="preserve">NET trading cycle </t>
  </si>
  <si>
    <t>Capex</t>
  </si>
  <si>
    <t xml:space="preserve">Capex 2 </t>
  </si>
  <si>
    <t>income tax rate 2022</t>
  </si>
  <si>
    <t>income tax rate 2021</t>
  </si>
  <si>
    <t>income tax rate 2020</t>
  </si>
  <si>
    <t>2021 Capex/2021 Total Revenue, not needed to divide by the change in revenue</t>
  </si>
  <si>
    <t>2021 Capex/2021 PPE no need to divide by the change in PPE</t>
  </si>
  <si>
    <t>2022 Capex/2022 Total Revenue, not needed to divide by the change in revenue</t>
  </si>
  <si>
    <t>2022 Capex/2022 PPE no need to divide by the change in PPE</t>
  </si>
  <si>
    <t>Denominator should be divided by 365 in brackets</t>
  </si>
  <si>
    <t>Row 9+Row 11 - Row 10 from above</t>
  </si>
  <si>
    <t>Numerator should be operating income, remove row 13 from it</t>
  </si>
  <si>
    <t>Net income/no. of shares in row 28, do not divide net income by EPS</t>
  </si>
  <si>
    <t>Numerator should be EBIT in row 18, remove row 13 from it</t>
  </si>
  <si>
    <t xml:space="preserve">Numerator is incorrectly linked to EPS, it should be linked to share count in row 28 and divided by 1000 within brackets. Denominator should be EBIT in Financial Statements row 18 + Depreciation and amortization or link it to row 19 from above </t>
  </si>
  <si>
    <t>Term debt should be the value listed under non-current liability, not the current term debt</t>
  </si>
  <si>
    <t>Denominator is incorrectly linked to EPS, it should be linked to share count in row 28 and divided by 1000 within brackets</t>
  </si>
  <si>
    <t>Link dividend value with - sign to remove the negative</t>
  </si>
  <si>
    <t>Denominator is incorrectly linked to EPS, it should be linked to share count in row 28 and divided by 1000 within brackets. Link dividend value with - sign to remove the negative</t>
  </si>
  <si>
    <t>Numerator should be EBIT in row 18, remove row 13 from it. Please use brackets for the addition in the denominator</t>
  </si>
  <si>
    <t>Feedback 2</t>
  </si>
  <si>
    <t xml:space="preserve">EPS </t>
  </si>
  <si>
    <t>188.63/</t>
  </si>
  <si>
    <t xml:space="preserve">dividen payout ratio </t>
  </si>
  <si>
    <t>Dividend payout ratio***</t>
  </si>
  <si>
    <t>Earnings per share (EPS)***</t>
  </si>
  <si>
    <t>Price to book value (PBV)***</t>
  </si>
  <si>
    <t>Dividend yield***</t>
  </si>
  <si>
    <t xml:space="preserve"> (2022)=</t>
  </si>
  <si>
    <t>Capex as % of fixed assets (2022)=</t>
  </si>
  <si>
    <t>(2021)=</t>
  </si>
  <si>
    <t>Dividen per share</t>
  </si>
  <si>
    <t>Dividend per share***</t>
  </si>
  <si>
    <t>trading cycle</t>
  </si>
  <si>
    <t>Defensive Interval</t>
  </si>
  <si>
    <t xml:space="preserve">Inventory Days </t>
  </si>
  <si>
    <t>Payable Days</t>
  </si>
  <si>
    <t>Receivable Days</t>
  </si>
  <si>
    <t>Net trading cycle</t>
  </si>
  <si>
    <t>Working Capital</t>
  </si>
  <si>
    <t>Working Capital as a % of Sales</t>
  </si>
  <si>
    <t xml:space="preserve">EBIT margin </t>
  </si>
  <si>
    <t xml:space="preserve">EBIT </t>
  </si>
  <si>
    <t>Debt to equity (D/E)</t>
  </si>
  <si>
    <t xml:space="preserve">Long-term debt to capital </t>
  </si>
  <si>
    <t>Times interest earned</t>
  </si>
  <si>
    <t>Debt coverage</t>
  </si>
  <si>
    <t>Free cash flow (FCFE) per share</t>
  </si>
  <si>
    <t xml:space="preserve">Total asset turnover </t>
  </si>
  <si>
    <t>Return on capital employed (ROCE)</t>
  </si>
  <si>
    <t>Return on equity (ROE)</t>
  </si>
  <si>
    <t>sales growth rate 2020-2021</t>
  </si>
  <si>
    <t>Gross profit growth rate 2020-2021</t>
  </si>
  <si>
    <t xml:space="preserve">Research and development growth rate </t>
  </si>
  <si>
    <t>selling and general admin growth rate</t>
  </si>
  <si>
    <t xml:space="preserve">Total assets growth rate </t>
  </si>
  <si>
    <t xml:space="preserve">total liabilities growth rate </t>
  </si>
  <si>
    <t>total shareholders equity and liabilities growth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</si>
</sst>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34">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165" fontId="0" fillId="0" borderId="0" xfId="0" applyNumberFormat="1"/>
    <xf numFmtId="43" fontId="0" fillId="0" borderId="0" xfId="0" applyNumberFormat="1"/>
    <xf numFmtId="164" fontId="0" fillId="0" borderId="0" xfId="1" applyFont="1"/>
    <xf numFmtId="2" fontId="0" fillId="0" borderId="0" xfId="0" applyNumberFormat="1"/>
    <xf numFmtId="9" fontId="0" fillId="0" borderId="0" xfId="3" applyFont="1"/>
    <xf numFmtId="0" fontId="2" fillId="0" borderId="0" xfId="0" applyFont="1" applyAlignment="1">
      <alignment horizontal="center"/>
    </xf>
    <xf numFmtId="10" fontId="0" fillId="0" borderId="0" xfId="3" applyNumberFormat="1" applyFont="1"/>
    <xf numFmtId="10" fontId="0" fillId="0" borderId="0" xfId="0" applyNumberFormat="1"/>
    <xf numFmtId="0" fontId="2" fillId="0" borderId="0" xfId="0" applyFont="1" applyAlignment="1">
      <alignment horizontal="center"/>
    </xf>
    <xf numFmtId="0" fontId="2" fillId="3" borderId="0" xfId="0" applyFont="1" applyFill="1" applyAlignment="1">
      <alignment horizontal="center"/>
    </xf>
    <xf numFmtId="2" fontId="0" fillId="0" borderId="0" xfId="3" applyNumberFormat="1" applyFont="1"/>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opLeftCell="A8" workbookViewId="0">
      <selection activeCell="A27" sqref="A27"/>
    </sheetView>
  </sheetViews>
  <sheetFormatPr defaultRowHeight="15" x14ac:dyDescent="0.25"/>
  <cols>
    <col min="1" max="1" width="104.5703125" customWidth="1"/>
  </cols>
  <sheetData>
    <row r="1" spans="1:1" ht="23.25" x14ac:dyDescent="0.35">
      <c r="A1" s="5" t="s">
        <v>87</v>
      </c>
    </row>
    <row r="3" spans="1:1" x14ac:dyDescent="0.25">
      <c r="A3" s="7" t="s">
        <v>120</v>
      </c>
    </row>
    <row r="4" spans="1:1" x14ac:dyDescent="0.25">
      <c r="A4" s="16" t="s">
        <v>88</v>
      </c>
    </row>
    <row r="5" spans="1:1" x14ac:dyDescent="0.25">
      <c r="A5" s="7" t="s">
        <v>97</v>
      </c>
    </row>
    <row r="6" spans="1:1" x14ac:dyDescent="0.25">
      <c r="A6" s="1" t="s">
        <v>127</v>
      </c>
    </row>
    <row r="7" spans="1:1" x14ac:dyDescent="0.25">
      <c r="A7" s="1"/>
    </row>
    <row r="8" spans="1:1" x14ac:dyDescent="0.25">
      <c r="A8" s="17" t="s">
        <v>128</v>
      </c>
    </row>
    <row r="9" spans="1:1" x14ac:dyDescent="0.25">
      <c r="A9" s="1" t="s">
        <v>124</v>
      </c>
    </row>
    <row r="10" spans="1:1" x14ac:dyDescent="0.25">
      <c r="A10" s="1" t="s">
        <v>89</v>
      </c>
    </row>
    <row r="11" spans="1:1" x14ac:dyDescent="0.25">
      <c r="A11" s="1" t="s">
        <v>90</v>
      </c>
    </row>
    <row r="12" spans="1:1" x14ac:dyDescent="0.25">
      <c r="A12" s="1" t="s">
        <v>91</v>
      </c>
    </row>
    <row r="13" spans="1:1" x14ac:dyDescent="0.25">
      <c r="A13" s="1"/>
    </row>
    <row r="14" spans="1:1" x14ac:dyDescent="0.25">
      <c r="A14" s="17" t="s">
        <v>92</v>
      </c>
    </row>
    <row r="15" spans="1:1" x14ac:dyDescent="0.25">
      <c r="A15" s="1" t="s">
        <v>125</v>
      </c>
    </row>
    <row r="16" spans="1:1" x14ac:dyDescent="0.25">
      <c r="A16" s="1" t="s">
        <v>89</v>
      </c>
    </row>
    <row r="17" spans="1:1" x14ac:dyDescent="0.25">
      <c r="A17" s="1" t="s">
        <v>90</v>
      </c>
    </row>
    <row r="18" spans="1:1" x14ac:dyDescent="0.25">
      <c r="A18" s="1" t="s">
        <v>14</v>
      </c>
    </row>
    <row r="19" spans="1:1" x14ac:dyDescent="0.25">
      <c r="A19" s="1" t="s">
        <v>93</v>
      </c>
    </row>
    <row r="20" spans="1:1" x14ac:dyDescent="0.25">
      <c r="A20" s="1"/>
    </row>
    <row r="21" spans="1:1" x14ac:dyDescent="0.25">
      <c r="A21" s="17" t="s">
        <v>98</v>
      </c>
    </row>
    <row r="22" spans="1:1" x14ac:dyDescent="0.25">
      <c r="A22" s="1" t="s">
        <v>94</v>
      </c>
    </row>
    <row r="23" spans="1:1" x14ac:dyDescent="0.25">
      <c r="A23" s="1" t="s">
        <v>95</v>
      </c>
    </row>
    <row r="24" spans="1:1" x14ac:dyDescent="0.25">
      <c r="A24" s="1" t="s">
        <v>96</v>
      </c>
    </row>
    <row r="25" spans="1:1" x14ac:dyDescent="0.25">
      <c r="A25" s="1"/>
    </row>
    <row r="26" spans="1:1" x14ac:dyDescent="0.25">
      <c r="A26" s="17" t="s">
        <v>123</v>
      </c>
    </row>
    <row r="27" spans="1:1" x14ac:dyDescent="0.25">
      <c r="A27" s="16" t="s">
        <v>122</v>
      </c>
    </row>
    <row r="29" spans="1:1" x14ac:dyDescent="0.25">
      <c r="A29" s="7" t="s">
        <v>126</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1"/>
  <sheetViews>
    <sheetView tabSelected="1" zoomScaleNormal="100" workbookViewId="0">
      <selection activeCell="C53" sqref="C53"/>
    </sheetView>
  </sheetViews>
  <sheetFormatPr defaultRowHeight="15" x14ac:dyDescent="0.25"/>
  <cols>
    <col min="1" max="1" width="4.7109375" customWidth="1"/>
    <col min="2" max="2" width="44.85546875" customWidth="1"/>
    <col min="3" max="5" width="13.28515625" bestFit="1" customWidth="1"/>
    <col min="6" max="6" width="45.140625" customWidth="1"/>
    <col min="7" max="7" width="36.42578125" customWidth="1"/>
  </cols>
  <sheetData>
    <row r="1" spans="1:11" ht="60" customHeight="1" x14ac:dyDescent="0.4">
      <c r="A1" s="6"/>
      <c r="B1" s="20" t="s">
        <v>0</v>
      </c>
      <c r="C1" s="19"/>
      <c r="D1" s="19"/>
      <c r="E1" s="19"/>
      <c r="F1" s="19" t="s">
        <v>241</v>
      </c>
      <c r="G1" s="19" t="s">
        <v>206</v>
      </c>
      <c r="H1" s="19"/>
      <c r="I1" s="19"/>
      <c r="J1" s="19"/>
      <c r="K1" s="19"/>
    </row>
    <row r="2" spans="1:11" x14ac:dyDescent="0.25">
      <c r="C2" s="31" t="s">
        <v>23</v>
      </c>
      <c r="D2" s="31"/>
      <c r="E2" s="31"/>
      <c r="F2" s="28"/>
    </row>
    <row r="3" spans="1:11" x14ac:dyDescent="0.25">
      <c r="C3" s="7">
        <f>+'Financial Statements'!B4</f>
        <v>2022</v>
      </c>
      <c r="D3" s="7">
        <f>+'Financial Statements'!C4</f>
        <v>2021</v>
      </c>
      <c r="E3" s="7">
        <f>+'Financial Statements'!D4</f>
        <v>2020</v>
      </c>
      <c r="F3" s="7"/>
    </row>
    <row r="4" spans="1:11" x14ac:dyDescent="0.25">
      <c r="A4" s="18">
        <v>1</v>
      </c>
      <c r="B4" s="7" t="s">
        <v>99</v>
      </c>
    </row>
    <row r="5" spans="1:11" x14ac:dyDescent="0.25">
      <c r="A5" s="18">
        <f>+A4+0.1</f>
        <v>1.1000000000000001</v>
      </c>
      <c r="B5" s="1" t="s">
        <v>100</v>
      </c>
      <c r="C5" s="25">
        <f>('Financial Statements'!B42/'Financial Statements'!B56)</f>
        <v>0.87935602862672257</v>
      </c>
      <c r="D5" s="25">
        <f>('Financial Statements'!C42/'Financial Statements'!C56)</f>
        <v>1.0745531195957954</v>
      </c>
      <c r="E5" s="25">
        <f>('Financial Statements'!D42/'Financial Statements'!D56)</f>
        <v>1.3636044481554577</v>
      </c>
      <c r="F5" s="25"/>
    </row>
    <row r="6" spans="1:11" x14ac:dyDescent="0.25">
      <c r="A6" s="18">
        <f t="shared" ref="A6:A13" si="0">+A5+0.1</f>
        <v>1.2000000000000002</v>
      </c>
      <c r="B6" s="1" t="s">
        <v>101</v>
      </c>
      <c r="C6" s="25">
        <f>('Financial Statements'!B36+'Financial Statements'!B37+'Financial Statements'!B38)/'Financial Statements'!B56</f>
        <v>0.49673338442155579</v>
      </c>
      <c r="D6" s="25">
        <f>('Financial Statements'!C36+'Financial Statements'!C37+'Financial Statements'!C38)/'Financial Statements'!C56</f>
        <v>0.70860927152317876</v>
      </c>
      <c r="E6" s="25">
        <f>('Financial Statements'!D36+'Financial Statements'!D37+'Financial Statements'!D38)/'Financial Statements'!D56</f>
        <v>1.0158550933657204</v>
      </c>
      <c r="F6" s="25"/>
    </row>
    <row r="7" spans="1:11" x14ac:dyDescent="0.25">
      <c r="A7" s="18">
        <f t="shared" si="0"/>
        <v>1.3000000000000003</v>
      </c>
      <c r="B7" s="1" t="s">
        <v>102</v>
      </c>
      <c r="C7" s="25">
        <f>('Financial Statements'!B36/'Financial Statements'!B56)</f>
        <v>0.15356340351469652</v>
      </c>
      <c r="D7" s="25">
        <f>('Financial Statements'!C36/'Financial Statements'!C56)</f>
        <v>0.27844853005634318</v>
      </c>
      <c r="E7" s="25">
        <f>('Financial Statements'!D36/'Financial Statements'!D56)</f>
        <v>0.36071049035979963</v>
      </c>
      <c r="F7" s="25"/>
    </row>
    <row r="8" spans="1:11" x14ac:dyDescent="0.25">
      <c r="A8" s="18">
        <f t="shared" si="0"/>
        <v>1.4000000000000004</v>
      </c>
      <c r="B8" s="1" t="s">
        <v>255</v>
      </c>
      <c r="C8">
        <f>('Financial Statements'!B42/('Financial Statements'!B17-'Financial Statements'!B79/365))</f>
        <v>2.6387238297685816</v>
      </c>
      <c r="D8">
        <f>('Financial Statements'!C42/('Financial Statements'!C17-'Financial Statements'!C79/365))</f>
        <v>3.0745106456853804</v>
      </c>
      <c r="E8">
        <f>('Financial Statements'!D42/('Financial Statements'!D17-'Financial Statements'!D79/365))</f>
        <v>3.7195010141274438</v>
      </c>
      <c r="F8" t="s">
        <v>230</v>
      </c>
      <c r="G8" t="s">
        <v>180</v>
      </c>
    </row>
    <row r="9" spans="1:11" x14ac:dyDescent="0.25">
      <c r="A9" s="18">
        <f t="shared" si="0"/>
        <v>1.5000000000000004</v>
      </c>
      <c r="B9" s="1" t="s">
        <v>256</v>
      </c>
      <c r="C9" s="25">
        <f>('Financial Statements'!B39/'Financial Statements'!B12)*365</f>
        <v>8.0756980666171607</v>
      </c>
      <c r="D9" s="25">
        <f>('Financial Statements'!C39/'Financial Statements'!C12)*365</f>
        <v>11.27659274770989</v>
      </c>
      <c r="E9" s="25">
        <f>('Financial Statements'!D39/'Financial Statements'!D12)*365</f>
        <v>8.7418833562358831</v>
      </c>
      <c r="F9" s="25"/>
    </row>
    <row r="10" spans="1:11" x14ac:dyDescent="0.25">
      <c r="A10" s="18">
        <f t="shared" si="0"/>
        <v>1.6000000000000005</v>
      </c>
      <c r="B10" s="1" t="s">
        <v>257</v>
      </c>
      <c r="C10" s="25">
        <f>('Financial Statements'!B51/'Financial Statements'!B12)*365</f>
        <v>104.68527730310539</v>
      </c>
      <c r="D10" s="25">
        <f>('Financial Statements'!C51/'Financial Statements'!C12)*365</f>
        <v>93.851071222315596</v>
      </c>
      <c r="E10" s="25">
        <f>('Financial Statements'!D51/'Financial Statements'!D12)*365</f>
        <v>91.048189715674198</v>
      </c>
      <c r="F10" s="25"/>
    </row>
    <row r="11" spans="1:11" x14ac:dyDescent="0.25">
      <c r="A11" s="18">
        <f t="shared" si="0"/>
        <v>1.7000000000000006</v>
      </c>
      <c r="B11" s="1" t="s">
        <v>258</v>
      </c>
      <c r="C11" s="25">
        <f>('Financial Statements'!B38/'Financial Statements'!B8)*365</f>
        <v>26.087825363656648</v>
      </c>
      <c r="D11" s="25">
        <f>('Financial Statements'!C38/'Financial Statements'!C8)*365</f>
        <v>26.219311841713207</v>
      </c>
      <c r="E11" s="25">
        <f>('Financial Statements'!D38/'Financial Statements'!D8)*365</f>
        <v>21.433437152796749</v>
      </c>
      <c r="F11" s="25"/>
    </row>
    <row r="12" spans="1:11" x14ac:dyDescent="0.25">
      <c r="A12" s="18">
        <f t="shared" si="0"/>
        <v>1.8000000000000007</v>
      </c>
      <c r="B12" s="1" t="s">
        <v>259</v>
      </c>
      <c r="C12">
        <f>('Financial Statements'!B39/'Financial Statements'!B12)*365+('Financial Statements'!B38/'Financial Statements'!B8)*365-('Financial Statements'!B51/'Financial Statements'!B12)*365</f>
        <v>-70.521753872831582</v>
      </c>
      <c r="D12">
        <f>('Financial Statements'!C39/'Financial Statements'!C12)*365+('Financial Statements'!C38/'Financial Statements'!C8)*365-('Financial Statements'!C51/'Financial Statements'!C12)*365</f>
        <v>-56.355166632892498</v>
      </c>
      <c r="E12">
        <f>('Financial Statements'!D39/'Financial Statements'!D12)*365+('Financial Statements'!D38/'Financial Statements'!D8)*365-('Financial Statements'!D51/'Financial Statements'!D12)*365</f>
        <v>-60.872869206641568</v>
      </c>
      <c r="F12" t="s">
        <v>231</v>
      </c>
      <c r="G12" s="26" t="s">
        <v>181</v>
      </c>
    </row>
    <row r="13" spans="1:11" x14ac:dyDescent="0.25">
      <c r="A13" s="18">
        <f t="shared" si="0"/>
        <v>1.9000000000000008</v>
      </c>
      <c r="B13" s="1" t="s">
        <v>261</v>
      </c>
      <c r="C13" s="23">
        <f>('Financial Statements'!B42-'Financial Statements'!B56)/'Financial Statements'!B8*100</f>
        <v>-4.7110527276784806</v>
      </c>
      <c r="D13" s="23">
        <f>('Financial Statements'!C42-'Financial Statements'!C56)/'Financial Statements'!C8*100</f>
        <v>2.5572895737486232</v>
      </c>
      <c r="E13">
        <f>('Financial Statements'!D42-'Financial Statements'!D56)/'Financial Statements'!D8*100</f>
        <v>13.959528623208204</v>
      </c>
    </row>
    <row r="14" spans="1:11" x14ac:dyDescent="0.25">
      <c r="A14" s="18"/>
      <c r="B14" s="3" t="s">
        <v>260</v>
      </c>
      <c r="C14" s="23">
        <f>('Financial Statements'!B42-'Financial Statements'!B56)</f>
        <v>-18577</v>
      </c>
      <c r="D14" s="23">
        <f>('Financial Statements'!C42-'Financial Statements'!C56)</f>
        <v>9355</v>
      </c>
      <c r="E14" s="23">
        <f>('Financial Statements'!D42-'Financial Statements'!D56)</f>
        <v>38321</v>
      </c>
      <c r="F14" s="23"/>
      <c r="G14" t="s">
        <v>182</v>
      </c>
    </row>
    <row r="15" spans="1:11" x14ac:dyDescent="0.25">
      <c r="A15" s="18"/>
    </row>
    <row r="16" spans="1:11" x14ac:dyDescent="0.25">
      <c r="A16" s="18">
        <f>+A4+1</f>
        <v>2</v>
      </c>
      <c r="B16" s="17" t="s">
        <v>103</v>
      </c>
    </row>
    <row r="17" spans="1:7" x14ac:dyDescent="0.25">
      <c r="A17" s="18">
        <f>+A16+0.1</f>
        <v>2.1</v>
      </c>
      <c r="B17" s="1" t="s">
        <v>9</v>
      </c>
      <c r="C17" s="27">
        <f>('Financial Statements'!B8-'Financial Statements'!B12)/'Financial Statements'!B8</f>
        <v>0.43309630561360085</v>
      </c>
      <c r="D17" s="27">
        <f>('Financial Statements'!C8-'Financial Statements'!C12)/'Financial Statements'!C8</f>
        <v>0.41779359625167778</v>
      </c>
      <c r="E17" s="27">
        <f>('Financial Statements'!D8-'Financial Statements'!D12)/'Financial Statements'!D8</f>
        <v>0.38233247727810865</v>
      </c>
      <c r="F17" s="27"/>
    </row>
    <row r="18" spans="1:7" x14ac:dyDescent="0.25">
      <c r="A18" s="18">
        <f>+A17+0.1</f>
        <v>2.2000000000000002</v>
      </c>
      <c r="B18" s="1" t="s">
        <v>104</v>
      </c>
      <c r="C18">
        <f>('Financial Statements'!B18+'Financial Statements'!B79)/'Financial Statements'!B8*100</f>
        <v>33.104674281308959</v>
      </c>
      <c r="D18">
        <f>('Financial Statements'!C18+'Financial Statements'!C79)/'Financial Statements'!C8*100</f>
        <v>32.86697993805646</v>
      </c>
      <c r="E18">
        <f>('Financial Statements'!D18+'Financial Statements'!D79)/'Financial Statements'!D8*100</f>
        <v>28.174780977360069</v>
      </c>
      <c r="G18" t="s">
        <v>204</v>
      </c>
    </row>
    <row r="19" spans="1:7" x14ac:dyDescent="0.25">
      <c r="A19" s="18"/>
      <c r="B19" s="3" t="s">
        <v>105</v>
      </c>
      <c r="C19" s="23">
        <f>('Financial Statements'!B18+'Financial Statements'!B79)</f>
        <v>130541</v>
      </c>
      <c r="D19" s="23">
        <f>('Financial Statements'!C18+'Financial Statements'!C79)</f>
        <v>120233</v>
      </c>
      <c r="E19" s="23">
        <f>('Financial Statements'!D18+'Financial Statements'!D79)</f>
        <v>77344</v>
      </c>
      <c r="F19" s="23"/>
      <c r="G19" t="s">
        <v>184</v>
      </c>
    </row>
    <row r="20" spans="1:7" x14ac:dyDescent="0.25">
      <c r="A20" s="18">
        <f>+A18+0.1</f>
        <v>2.3000000000000003</v>
      </c>
      <c r="B20" s="1" t="s">
        <v>262</v>
      </c>
      <c r="C20">
        <f>('Financial Statements'!B13-'Financial Statements'!B18)/'Financial Statements'!B8*100</f>
        <v>13.020886165831492</v>
      </c>
      <c r="D20">
        <f>('Financial Statements'!C13-'Financial Statements'!C18)/'Financial Statements'!C8*100</f>
        <v>11.99698209760618</v>
      </c>
      <c r="E20">
        <f>('Financial Statements'!D13-'Financial Statements'!D18)/'Financial Statements'!D8*100</f>
        <v>14.085933373404004</v>
      </c>
      <c r="G20" t="s">
        <v>204</v>
      </c>
    </row>
    <row r="21" spans="1:7" x14ac:dyDescent="0.25">
      <c r="A21" s="18"/>
      <c r="B21" s="3" t="s">
        <v>263</v>
      </c>
      <c r="C21" s="23">
        <f>('Financial Statements'!B13-'Financial Statements'!B18)</f>
        <v>51345</v>
      </c>
      <c r="D21" s="23">
        <f>('Financial Statements'!C13-'Financial Statements'!C18)</f>
        <v>43887</v>
      </c>
      <c r="E21" s="23">
        <f>('Financial Statements'!D13-'Financial Statements'!D18)</f>
        <v>38668</v>
      </c>
      <c r="F21" s="23"/>
      <c r="G21" t="s">
        <v>183</v>
      </c>
    </row>
    <row r="22" spans="1:7" x14ac:dyDescent="0.25">
      <c r="A22" s="18">
        <f>+A20+0.1</f>
        <v>2.4000000000000004</v>
      </c>
      <c r="B22" s="1" t="s">
        <v>108</v>
      </c>
      <c r="C22">
        <f>('Financial Statements'!B22/'Financial Statements'!B8)*100</f>
        <v>25.309640705199733</v>
      </c>
      <c r="D22">
        <f>('Financial Statements'!C22/'Financial Statements'!C8)*100</f>
        <v>25.881793355694239</v>
      </c>
      <c r="E22">
        <f>('Financial Statements'!D22/'Financial Statements'!D8)*100</f>
        <v>20.913611278072235</v>
      </c>
    </row>
    <row r="23" spans="1:7" x14ac:dyDescent="0.25">
      <c r="A23" s="18"/>
    </row>
    <row r="24" spans="1:7" x14ac:dyDescent="0.25">
      <c r="A24" s="18">
        <f>+A16+1</f>
        <v>3</v>
      </c>
      <c r="B24" s="7" t="s">
        <v>109</v>
      </c>
    </row>
    <row r="25" spans="1:7" x14ac:dyDescent="0.25">
      <c r="A25" s="18">
        <f t="shared" ref="A25:A30" si="1">+A24+0.1</f>
        <v>3.1</v>
      </c>
      <c r="B25" s="1" t="s">
        <v>264</v>
      </c>
      <c r="C25">
        <f>('Financial Statements'!B59/'Financial Statements'!B68)</f>
        <v>1.9529325860435744</v>
      </c>
      <c r="D25">
        <f>('Financial Statements'!C59/'Financial Statements'!C68)</f>
        <v>1.729370740212395</v>
      </c>
      <c r="E25">
        <f>('Financial Statements'!D59/'Financial Statements'!D68)</f>
        <v>1.5100782075024104</v>
      </c>
      <c r="F25" t="s">
        <v>236</v>
      </c>
      <c r="G25" t="s">
        <v>185</v>
      </c>
    </row>
    <row r="26" spans="1:7" x14ac:dyDescent="0.25">
      <c r="A26" s="18">
        <f t="shared" si="1"/>
        <v>3.2</v>
      </c>
      <c r="B26" s="1" t="s">
        <v>110</v>
      </c>
      <c r="C26">
        <f>('Financial Statements'!B59/'Financial Statements'!B48)</f>
        <v>0.28053181386514719</v>
      </c>
      <c r="D26">
        <f>('Financial Statements'!C59/'Financial Statements'!C48)</f>
        <v>0.31084153366647482</v>
      </c>
      <c r="E26">
        <f>('Financial Statements'!D59/'Financial Statements'!D48)</f>
        <v>0.30463308304105124</v>
      </c>
      <c r="F26" t="s">
        <v>236</v>
      </c>
      <c r="G26" t="s">
        <v>185</v>
      </c>
    </row>
    <row r="27" spans="1:7" x14ac:dyDescent="0.25">
      <c r="A27" s="18">
        <f t="shared" si="1"/>
        <v>3.3000000000000003</v>
      </c>
      <c r="B27" s="1" t="s">
        <v>265</v>
      </c>
      <c r="C27">
        <f>('Financial Statements'!B59/'Financial Statements'!B69)</f>
        <v>0.28053181386514719</v>
      </c>
      <c r="D27">
        <f>('Financial Statements'!C59/'Financial Statements'!C69)</f>
        <v>0.31084153366647482</v>
      </c>
      <c r="E27">
        <f>('Financial Statements'!D59/'Financial Statements'!D69)</f>
        <v>0.30463308304105124</v>
      </c>
      <c r="F27" t="s">
        <v>236</v>
      </c>
      <c r="G27" t="s">
        <v>185</v>
      </c>
    </row>
    <row r="28" spans="1:7" x14ac:dyDescent="0.25">
      <c r="A28" s="18">
        <f t="shared" si="1"/>
        <v>3.4000000000000004</v>
      </c>
      <c r="B28" s="1" t="s">
        <v>266</v>
      </c>
      <c r="C28" s="23">
        <f>('Financial Statements'!B18)/'Financial Statements'!B114</f>
        <v>41.68830715532286</v>
      </c>
      <c r="D28">
        <f>('Financial Statements'!C18)/'Financial Statements'!C114</f>
        <v>40.546706363974693</v>
      </c>
      <c r="E28">
        <f>('Financial Statements'!D18)/'Financial Statements'!D114</f>
        <v>22.081279147235175</v>
      </c>
      <c r="F28" t="s">
        <v>232</v>
      </c>
      <c r="G28" t="s">
        <v>187</v>
      </c>
    </row>
    <row r="29" spans="1:7" x14ac:dyDescent="0.25">
      <c r="A29" s="18">
        <f t="shared" si="1"/>
        <v>3.5000000000000004</v>
      </c>
      <c r="B29" s="1" t="s">
        <v>267</v>
      </c>
      <c r="C29" s="24">
        <f>('Financial Statements'!B18)/('Financial Statements'!B114+'Financial Statements'!B105)</f>
        <v>-17.88514525306978</v>
      </c>
      <c r="D29">
        <f>('Financial Statements'!C18)/('Financial Statements'!C114+'Financial Statements'!C105)</f>
        <v>-17.969487052614216</v>
      </c>
      <c r="E29">
        <f>('Financial Statements'!D18)/('Financial Statements'!D114+'Financial Statements'!D105)</f>
        <v>-6.8856341539420383</v>
      </c>
      <c r="F29" t="s">
        <v>232</v>
      </c>
      <c r="G29" t="s">
        <v>186</v>
      </c>
    </row>
    <row r="30" spans="1:7" x14ac:dyDescent="0.25">
      <c r="A30" s="18">
        <f t="shared" si="1"/>
        <v>3.6000000000000005</v>
      </c>
      <c r="B30" s="1" t="s">
        <v>268</v>
      </c>
      <c r="C30" s="24">
        <f>('Financial Statements'!B96+'Financial Statements'!B104+'Financial Statements'!B91)/'Financial Statements'!B25/1000</f>
        <v>19.133878887070377</v>
      </c>
      <c r="D30" s="24">
        <f>('Financial Statements'!C96+'Financial Statements'!C104+'Financial Statements'!C91)/'Financial Statements'!C25/1000</f>
        <v>20.204278074866309</v>
      </c>
      <c r="E30" s="24">
        <f>('Financial Statements'!D104+'Financial Statements'!D91+'Financial Statements'!D96)/'Financial Statements'!D25/1000</f>
        <v>27.273170731707321</v>
      </c>
      <c r="F30" s="24"/>
      <c r="G30" t="s">
        <v>188</v>
      </c>
    </row>
    <row r="31" spans="1:7" x14ac:dyDescent="0.25">
      <c r="A31" s="18"/>
      <c r="B31" s="3" t="s">
        <v>111</v>
      </c>
      <c r="C31" s="23">
        <f>('Financial Statements'!B96+'Financial Statements'!B104+'Financial Statements'!B91)</f>
        <v>116908</v>
      </c>
      <c r="D31" s="23">
        <f>('Financial Statements'!C96+'Financial Statements'!C104+'Financial Statements'!C91)</f>
        <v>113346</v>
      </c>
      <c r="E31" s="23">
        <f>('Financial Statements'!D96+'Financial Statements'!D91+'Financial Statements'!D104)</f>
        <v>89456</v>
      </c>
      <c r="F31" s="23"/>
      <c r="G31" t="s">
        <v>205</v>
      </c>
    </row>
    <row r="32" spans="1:7" x14ac:dyDescent="0.25">
      <c r="A32" s="18"/>
    </row>
    <row r="33" spans="1:7" x14ac:dyDescent="0.25">
      <c r="A33" s="18">
        <f>+A24+1</f>
        <v>4</v>
      </c>
      <c r="B33" s="17" t="s">
        <v>112</v>
      </c>
    </row>
    <row r="34" spans="1:7" x14ac:dyDescent="0.25">
      <c r="A34" s="18">
        <f>+A33+0.1</f>
        <v>4.0999999999999996</v>
      </c>
      <c r="B34" s="1" t="s">
        <v>269</v>
      </c>
      <c r="C34">
        <f>('Financial Statements'!B8/'Financial Statements'!B48)</f>
        <v>1.1178523337727317</v>
      </c>
      <c r="D34">
        <f>('Financial Statements'!C8/'Financial Statements'!C48)</f>
        <v>1.0422077367080529</v>
      </c>
      <c r="E34">
        <f>+('Financial Statements'!D8/'Financial Statements'!D48)</f>
        <v>0.84756150274168851</v>
      </c>
      <c r="G34" t="s">
        <v>189</v>
      </c>
    </row>
    <row r="35" spans="1:7" x14ac:dyDescent="0.25">
      <c r="A35" s="18">
        <f>+A34+0.1</f>
        <v>4.1999999999999993</v>
      </c>
      <c r="B35" s="1" t="s">
        <v>113</v>
      </c>
      <c r="C35" s="25">
        <f>('Financial Statements'!B8/'Financial Statements'!B47)</f>
        <v>1.8142535081665516</v>
      </c>
      <c r="D35" s="25">
        <f>('Financial Statements'!C8/'Financial Statements'!C47)</f>
        <v>1.6922966608994938</v>
      </c>
      <c r="E35" s="25">
        <f>('Financial Statements'!D8/'Financial Statements'!D47)</f>
        <v>1.5236020535590398</v>
      </c>
      <c r="F35" s="25"/>
    </row>
    <row r="36" spans="1:7" x14ac:dyDescent="0.25">
      <c r="A36" s="18">
        <f>+A35+0.1</f>
        <v>4.2999999999999989</v>
      </c>
      <c r="B36" s="1" t="s">
        <v>114</v>
      </c>
      <c r="C36" s="25">
        <f>('Financial Statements'!B12/'Financial Statements'!B39)</f>
        <v>45.197331176708452</v>
      </c>
      <c r="D36" s="25">
        <f>('Financial Statements'!C12/'Financial Statements'!C39)</f>
        <v>32.367933130699086</v>
      </c>
      <c r="E36" s="25">
        <f>('Financial Statements'!D12/'Financial Statements'!D39)</f>
        <v>41.753016498399411</v>
      </c>
      <c r="F36" s="25"/>
    </row>
    <row r="37" spans="1:7" x14ac:dyDescent="0.25">
      <c r="A37" s="18">
        <f>+A36+0.1</f>
        <v>4.3999999999999986</v>
      </c>
      <c r="B37" s="1" t="s">
        <v>115</v>
      </c>
      <c r="C37" s="25">
        <f>('Financial Statements'!B22/'Financial Statements'!B48)</f>
        <v>0.28292440929256851</v>
      </c>
      <c r="D37" s="25">
        <f>('Financial Statements'!C22/'Financial Statements'!C48)</f>
        <v>0.26974205275183616</v>
      </c>
      <c r="E37" s="25">
        <f>('Financial Statements'!D22/'Financial Statements'!D48)</f>
        <v>0.1772557180259843</v>
      </c>
      <c r="F37" s="25"/>
    </row>
    <row r="38" spans="1:7" x14ac:dyDescent="0.25">
      <c r="A38" s="18"/>
    </row>
    <row r="39" spans="1:7" x14ac:dyDescent="0.25">
      <c r="A39" s="18">
        <f>+A33+1</f>
        <v>5</v>
      </c>
      <c r="B39" s="17" t="s">
        <v>116</v>
      </c>
    </row>
    <row r="40" spans="1:7" x14ac:dyDescent="0.25">
      <c r="A40" s="18">
        <f>+A39+0.1</f>
        <v>5.0999999999999996</v>
      </c>
      <c r="B40" s="1" t="s">
        <v>117</v>
      </c>
      <c r="C40">
        <f>(188.63/'Financial Statements'!B25)</f>
        <v>30.872340425531913</v>
      </c>
      <c r="D40">
        <f>(188.63/'Financial Statements'!C25)</f>
        <v>33.623885918003559</v>
      </c>
      <c r="E40">
        <f>(188.63/'Financial Statements'!D25)</f>
        <v>57.509146341463413</v>
      </c>
      <c r="G40" t="s">
        <v>190</v>
      </c>
    </row>
    <row r="41" spans="1:7" x14ac:dyDescent="0.25">
      <c r="A41" s="18">
        <f>+A40+0.1</f>
        <v>5.1999999999999993</v>
      </c>
      <c r="B41" s="3" t="s">
        <v>246</v>
      </c>
      <c r="C41" s="24">
        <f>('Financial Statements'!B22/'Financial Statements'!B28/1000)</f>
        <v>6.1132002014722814E-6</v>
      </c>
      <c r="D41" s="24">
        <f>('Financial Statements'!C22/'Financial Statements'!C28/1000)</f>
        <v>5.6140204408927189E-6</v>
      </c>
      <c r="E41" s="24">
        <f>('Financial Statements'!D22/'Financial Statements'!D28/1000)</f>
        <v>3.2753479618630855E-6</v>
      </c>
      <c r="F41" s="24" t="s">
        <v>233</v>
      </c>
      <c r="G41" t="s">
        <v>191</v>
      </c>
    </row>
    <row r="42" spans="1:7" x14ac:dyDescent="0.25">
      <c r="A42" s="18">
        <f>+A41+0.1</f>
        <v>5.2999999999999989</v>
      </c>
      <c r="B42" s="1" t="s">
        <v>247</v>
      </c>
      <c r="C42" s="24">
        <f>(188.63/'Financial Statements'!B68/'Financial Statements'!B28/1000)</f>
        <v>2.2801726988283835E-13</v>
      </c>
      <c r="D42" s="24">
        <f>(188.63/'Financial Statements'!C68/'Financial Statements'!C28)/1000</f>
        <v>1.772825450042421E-13</v>
      </c>
      <c r="E42" s="24">
        <f>(188.63/'Financial Statements'!D68/'Financial Statements'!D28)/1000</f>
        <v>1.647026604873773E-13</v>
      </c>
      <c r="F42" t="s">
        <v>192</v>
      </c>
      <c r="G42" t="s">
        <v>192</v>
      </c>
    </row>
    <row r="43" spans="1:7" x14ac:dyDescent="0.25">
      <c r="A43" s="18">
        <f>+A42+0.1</f>
        <v>5.3999999999999986</v>
      </c>
      <c r="B43" s="3" t="s">
        <v>214</v>
      </c>
      <c r="C43" s="24">
        <f>('Financial Statements'!B68/'Financial Statements'!B28/1000)</f>
        <v>3.1037952827971451E-6</v>
      </c>
      <c r="D43" s="24">
        <f>('Financial Statements'!C68/'Financial Statements'!C28/1000)</f>
        <v>3.740901453484597E-6</v>
      </c>
      <c r="E43" s="24">
        <f>('Financial Statements'!D68/'Financial Statements'!D28/1000)</f>
        <v>3.7276473233382477E-6</v>
      </c>
      <c r="F43" s="24" t="s">
        <v>237</v>
      </c>
      <c r="G43" t="s">
        <v>193</v>
      </c>
    </row>
    <row r="44" spans="1:7" x14ac:dyDescent="0.25">
      <c r="A44" s="18">
        <f>+A43+0.1</f>
        <v>5.4999999999999982</v>
      </c>
      <c r="B44" s="1" t="s">
        <v>245</v>
      </c>
      <c r="C44">
        <f>(-'Financial Statements'!B102/'Financial Statements'!B22)</f>
        <v>0.14870294480125848</v>
      </c>
      <c r="D44">
        <f>(-'Financial Statements'!C102/'Financial Statements'!C22)</f>
        <v>0.15279890156316012</v>
      </c>
      <c r="E44">
        <f>(-'Financial Statements'!D102/'Financial Statements'!D22)</f>
        <v>0.24526658654264863</v>
      </c>
      <c r="F44" t="s">
        <v>238</v>
      </c>
      <c r="G44" t="s">
        <v>194</v>
      </c>
    </row>
    <row r="45" spans="1:7" x14ac:dyDescent="0.25">
      <c r="A45" s="18"/>
      <c r="B45" s="3" t="s">
        <v>253</v>
      </c>
      <c r="C45" s="24">
        <f>(-'Financial Statements'!B102/'Financial Statements'!B28/1000)</f>
        <v>9.0905087211857486E-7</v>
      </c>
      <c r="D45" s="24">
        <f>(-'Financial Statements'!C102/'Financial Statements'!C28/1000)</f>
        <v>8.578161567215354E-7</v>
      </c>
      <c r="E45" s="24">
        <f>(-'Financial Statements'!D102/'Financial Statements'!D28/1000)</f>
        <v>8.0333341434558021E-7</v>
      </c>
      <c r="F45" s="24" t="s">
        <v>239</v>
      </c>
      <c r="G45" t="s">
        <v>195</v>
      </c>
    </row>
    <row r="46" spans="1:7" x14ac:dyDescent="0.25">
      <c r="A46" s="18">
        <f>+A44+0.1</f>
        <v>5.5999999999999979</v>
      </c>
      <c r="B46" s="1" t="s">
        <v>248</v>
      </c>
      <c r="C46" s="33">
        <f>(-'Financial Statements'!B102/'Financial Statements'!B28/1000)/188.63</f>
        <v>4.8192274405904414E-9</v>
      </c>
      <c r="D46" s="24">
        <f>(-'Financial Statements'!C102/'Financial Statements'!C28/1000)/18.63</f>
        <v>4.6044882271687355E-8</v>
      </c>
      <c r="E46" s="24">
        <f>(-'Financial Statements'!D102/'Financial Statements'!D28/1000)/188.63</f>
        <v>4.2587786372558988E-9</v>
      </c>
      <c r="F46" s="24" t="s">
        <v>239</v>
      </c>
      <c r="G46" t="s">
        <v>196</v>
      </c>
    </row>
    <row r="47" spans="1:7" x14ac:dyDescent="0.25">
      <c r="A47" s="18">
        <f>+A45+0.1</f>
        <v>0.1</v>
      </c>
      <c r="B47" s="1" t="s">
        <v>271</v>
      </c>
      <c r="C47">
        <f>('Financial Statements'!B18)/'Financial Statements'!B68</f>
        <v>2.3570610988317018</v>
      </c>
      <c r="D47">
        <f>('Financial Statements'!C18)/'Financial Statements'!C68</f>
        <v>1.7268822317324457</v>
      </c>
      <c r="E47">
        <f>('Financial Statements'!D18)/'Financial Statements'!D68</f>
        <v>1.0145242504476653</v>
      </c>
      <c r="F47" s="24" t="s">
        <v>234</v>
      </c>
      <c r="G47" t="s">
        <v>200</v>
      </c>
    </row>
    <row r="48" spans="1:7" x14ac:dyDescent="0.25">
      <c r="A48" s="18">
        <f>+A46+0.1</f>
        <v>5.6999999999999975</v>
      </c>
      <c r="B48" s="1" t="s">
        <v>270</v>
      </c>
      <c r="C48" s="24">
        <f>('Financial Statements'!B18)/'Financial Statements'!B68+'Financial Statements'!B59</f>
        <v>98961.357061098824</v>
      </c>
      <c r="D48" s="24">
        <f>('Financial Statements'!C18)/'Financial Statements'!C68+'Financial Statements'!C59</f>
        <v>109107.72688223173</v>
      </c>
      <c r="E48" s="24">
        <f>('Financial Statements'!D18)/'Financial Statements'!D68+'Financial Statements'!C59</f>
        <v>109107.01452425045</v>
      </c>
      <c r="F48" s="24" t="s">
        <v>240</v>
      </c>
      <c r="G48" t="s">
        <v>197</v>
      </c>
    </row>
    <row r="49" spans="1:7" x14ac:dyDescent="0.25">
      <c r="A49" s="18">
        <f>+A47+0.1</f>
        <v>0.2</v>
      </c>
      <c r="B49" s="1" t="s">
        <v>115</v>
      </c>
      <c r="C49" s="25">
        <f>('Financial Statements'!B20/'Financial Statements'!B48)</f>
        <v>0.33763660330824508</v>
      </c>
      <c r="D49" s="25">
        <f>('Financial Statements'!C20/'Financial Statements'!C48)</f>
        <v>0.31112928131463641</v>
      </c>
      <c r="E49" s="25">
        <f>('Financial Statements'!D20/'Financial Statements'!D48)</f>
        <v>0.2071425925011115</v>
      </c>
      <c r="F49" s="25"/>
    </row>
    <row r="50" spans="1:7" x14ac:dyDescent="0.25">
      <c r="A50" s="18">
        <f>+A48+0.1</f>
        <v>5.7999999999999972</v>
      </c>
      <c r="B50" s="1" t="s">
        <v>118</v>
      </c>
      <c r="C50" s="24">
        <f>(188.63*'Financial Statements'!B28/1000)+('Financial Statements'!B62-'Financial Statements'!B110)/('Financial Statements'!B18)</f>
        <v>3079541.5580718108</v>
      </c>
      <c r="D50">
        <f>(188.63*'Financial Statements'!C28/1000)+('Financial Statements'!C62-'Financial Statements'!C110)/('Financial Statements'!C18)</f>
        <v>3181231.9838228025</v>
      </c>
      <c r="E50">
        <f>(188.63*'Financial Statements'!D28/1000)+('Financial Statements'!D62-'Financial Statements'!D110)/('Financial Statements'!D18)</f>
        <v>3306350.3069648226</v>
      </c>
      <c r="F50" s="24" t="s">
        <v>235</v>
      </c>
      <c r="G50" t="s">
        <v>198</v>
      </c>
    </row>
    <row r="51" spans="1:7" x14ac:dyDescent="0.25">
      <c r="A51" s="18"/>
      <c r="B51" s="3" t="s">
        <v>119</v>
      </c>
      <c r="C51" s="24">
        <f>(188.63*'Financial Statements'!B28/1000)+('Financial Statements'!B62-'Financial Statements'!B110)</f>
        <v>3356645.2379699997</v>
      </c>
      <c r="D51" s="24">
        <f>(188.63*'Financial Statements'!C28/1000)+('Financial Statements'!C62-'Financial Statements'!C110)</f>
        <v>3433212.6709699999</v>
      </c>
      <c r="E51" s="24">
        <f>(188.63*'Financial Statements'!D28/1000)+('Financial Statements'!D62-'Financial Statements'!D110)</f>
        <v>3525107.0068199998</v>
      </c>
      <c r="F51" s="24" t="s">
        <v>237</v>
      </c>
      <c r="G51" t="s">
        <v>199</v>
      </c>
    </row>
    <row r="52" spans="1:7" x14ac:dyDescent="0.25">
      <c r="A52">
        <v>5.9</v>
      </c>
      <c r="B52" s="1" t="s">
        <v>272</v>
      </c>
      <c r="D52" s="29">
        <f>('Financial Statements'!B8-'Financial Statements'!C8)/'Financial Statements'!C8</f>
        <v>7.7937876041846058E-2</v>
      </c>
      <c r="E52" s="29">
        <f>('Financial Statements'!C8-'Financial Statements'!D8)/'Financial Statements'!D8</f>
        <v>0.33259384733074693</v>
      </c>
      <c r="F52" s="29"/>
      <c r="G52" t="s">
        <v>201</v>
      </c>
    </row>
    <row r="53" spans="1:7" x14ac:dyDescent="0.25">
      <c r="B53" s="1" t="s">
        <v>273</v>
      </c>
      <c r="D53" s="29">
        <f>('Financial Statements'!B13-'Financial Statements'!C13)/'Financial Statements'!C13</f>
        <v>0.11741997958596143</v>
      </c>
      <c r="E53" s="29">
        <f>('Financial Statements'!C12-'Financial Statements'!D12)/'Financial Statements'!D12</f>
        <v>0.25608785142634716</v>
      </c>
      <c r="F53" s="29"/>
    </row>
    <row r="54" spans="1:7" x14ac:dyDescent="0.25">
      <c r="B54" s="1" t="s">
        <v>274</v>
      </c>
      <c r="D54" s="29">
        <f>('Financial Statements'!B15-'Financial Statements'!C15)/'Financial Statements'!C15</f>
        <v>0.19791001186456147</v>
      </c>
      <c r="E54" s="29">
        <f>('Financial Statements'!C15-'Financial Statements'!D15)/'Financial Statements'!D15</f>
        <v>0.16862201365187712</v>
      </c>
      <c r="F54" s="29"/>
    </row>
    <row r="55" spans="1:7" x14ac:dyDescent="0.25">
      <c r="B55" s="1" t="s">
        <v>275</v>
      </c>
      <c r="D55" s="29">
        <f>('Financial Statements'!B16-'Financial Statements'!C16)/'Financial Statements'!C16</f>
        <v>0.14203795567287125</v>
      </c>
      <c r="E55" s="29">
        <f>('Financial Statements'!C16-'Financial Statements'!D16)/'Financial Statements'!D16</f>
        <v>0.10328379192608958</v>
      </c>
      <c r="F55" s="29"/>
    </row>
    <row r="56" spans="1:7" x14ac:dyDescent="0.25">
      <c r="B56" s="1" t="s">
        <v>276</v>
      </c>
      <c r="D56" s="29">
        <f>('Financial Statements'!B48-'Financial Statements'!C48)/'Financial Statements'!C48</f>
        <v>4.9942735369029236E-3</v>
      </c>
      <c r="E56" s="29">
        <f>('Financial Statements'!C48-'Financial Statements'!D48)/'Financial Statements'!D48</f>
        <v>8.3714123400681711E-2</v>
      </c>
      <c r="F56" s="29"/>
    </row>
    <row r="57" spans="1:7" x14ac:dyDescent="0.25">
      <c r="B57" s="1" t="s">
        <v>277</v>
      </c>
      <c r="D57" s="29">
        <f>('Financial Statements'!B62-'Financial Statements'!C62)/'Financial Statements'!C62</f>
        <v>4.9219900525160468E-2</v>
      </c>
      <c r="E57" s="29">
        <f>('Financial Statements'!C62-'Financial Statements'!D62)/'Financial Statements'!D62</f>
        <v>0.11356841449783213</v>
      </c>
      <c r="F57" s="29"/>
    </row>
    <row r="58" spans="1:7" x14ac:dyDescent="0.25">
      <c r="B58" s="1" t="s">
        <v>278</v>
      </c>
      <c r="D58" s="29">
        <f>('Financial Statements'!B69-'Financial Statements'!C69)/'Financial Statements'!C69</f>
        <v>4.9942735369029236E-3</v>
      </c>
      <c r="E58" s="29">
        <f>('Financial Statements'!C69-'Financial Statements'!D69)/'Financial Statements'!D69</f>
        <v>8.3714123400681711E-2</v>
      </c>
      <c r="F58" s="29"/>
    </row>
    <row r="59" spans="1:7" x14ac:dyDescent="0.25">
      <c r="D59" s="27"/>
      <c r="E59" s="27"/>
      <c r="F59" s="27"/>
    </row>
    <row r="75" spans="2:6" x14ac:dyDescent="0.25">
      <c r="B75" s="1" t="s">
        <v>170</v>
      </c>
    </row>
    <row r="76" spans="2:6" x14ac:dyDescent="0.25">
      <c r="B76" s="1" t="s">
        <v>171</v>
      </c>
      <c r="C76" s="30">
        <f>('Financial Statements'!B12/'Financial Statements'!B8)</f>
        <v>0.56690369438639909</v>
      </c>
      <c r="D76" s="30">
        <f>('Financial Statements'!C12/'Financial Statements'!C8)</f>
        <v>0.58220640374832222</v>
      </c>
      <c r="E76" s="30">
        <f>('Financial Statements'!D12/'Financial Statements'!D8)</f>
        <v>0.61766752272189129</v>
      </c>
      <c r="F76" s="30"/>
    </row>
    <row r="77" spans="2:6" x14ac:dyDescent="0.25">
      <c r="B77" s="1" t="s">
        <v>130</v>
      </c>
      <c r="C77" s="30">
        <f>('Financial Statements'!B18/'Financial Statements'!B8)</f>
        <v>0.30288744395528594</v>
      </c>
      <c r="D77" s="30">
        <f>('Financial Statements'!C18/'Financial Statements'!C8)</f>
        <v>0.29782377527561593</v>
      </c>
      <c r="E77" s="30">
        <f>('Financial Statements'!D18/'Financial Statements'!D8)</f>
        <v>0.24147314354406862</v>
      </c>
      <c r="F77" s="30"/>
    </row>
    <row r="78" spans="2:6" x14ac:dyDescent="0.25">
      <c r="B78" s="1" t="s">
        <v>172</v>
      </c>
      <c r="C78" s="30">
        <f>('Financial Statements'!B22/'Financial Statements'!B8)</f>
        <v>0.25309640705199732</v>
      </c>
      <c r="D78" s="30">
        <f>('Financial Statements'!C22/'Financial Statements'!C8)</f>
        <v>0.25881793355694238</v>
      </c>
      <c r="E78" s="30">
        <f>('Financial Statements'!D22/'Financial Statements'!D8)</f>
        <v>0.20913611278072236</v>
      </c>
      <c r="F78" s="30"/>
    </row>
    <row r="79" spans="2:6" x14ac:dyDescent="0.25">
      <c r="B79" s="1" t="s">
        <v>173</v>
      </c>
      <c r="C79" s="30">
        <f>('Financial Statements'!B13/'Financial Statements'!B8)</f>
        <v>0.43309630561360085</v>
      </c>
      <c r="D79" s="30">
        <f>('Financial Statements'!C13/'Financial Statements'!C8)</f>
        <v>0.41779359625167778</v>
      </c>
      <c r="E79" s="30">
        <f>('Financial Statements'!D13/'Financial Statements'!D8)</f>
        <v>0.38233247727810865</v>
      </c>
      <c r="F79" s="30"/>
    </row>
    <row r="80" spans="2:6" x14ac:dyDescent="0.25">
      <c r="B80" s="1" t="s">
        <v>174</v>
      </c>
      <c r="C80" s="30">
        <f>('Financial Statements'!B15/'Financial Statements'!B8)</f>
        <v>6.657148363798665E-2</v>
      </c>
      <c r="D80" s="30">
        <f>('Financial Statements'!C15/'Financial Statements'!C8)</f>
        <v>5.9904269074427925E-2</v>
      </c>
      <c r="E80" s="30">
        <f>('Financial Statements'!D15/'Financial Statements'!D8)</f>
        <v>6.8309564140393061E-2</v>
      </c>
      <c r="F80" s="30"/>
    </row>
    <row r="81" spans="2:6" x14ac:dyDescent="0.25">
      <c r="B81" s="1" t="s">
        <v>129</v>
      </c>
      <c r="C81" s="30">
        <f>('Financial Statements'!B16/'Financial Statements'!B8)</f>
        <v>6.3637378020328261E-2</v>
      </c>
      <c r="D81" s="30">
        <f>('Financial Statements'!C16/'Financial Statements'!C8)</f>
        <v>6.006555190163388E-2</v>
      </c>
      <c r="E81" s="30">
        <f>('Financial Statements'!D16/'Financial Statements'!D8)</f>
        <v>7.2549769593646979E-2</v>
      </c>
      <c r="F81" s="30"/>
    </row>
  </sheetData>
  <mergeCells count="1">
    <mergeCell ref="C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EF86F-FE62-4586-A404-DB51DD435C0A}">
  <dimension ref="A4:H10"/>
  <sheetViews>
    <sheetView workbookViewId="0">
      <selection activeCell="F6" sqref="F6"/>
    </sheetView>
  </sheetViews>
  <sheetFormatPr defaultRowHeight="15" x14ac:dyDescent="0.25"/>
  <cols>
    <col min="1" max="1" width="21.5703125" customWidth="1"/>
    <col min="2" max="2" width="16" customWidth="1"/>
    <col min="3" max="4" width="16.5703125" customWidth="1"/>
    <col min="5" max="5" width="20.28515625" customWidth="1"/>
    <col min="6" max="6" width="22.140625" customWidth="1"/>
  </cols>
  <sheetData>
    <row r="4" spans="1:8" x14ac:dyDescent="0.25">
      <c r="A4" t="s">
        <v>131</v>
      </c>
      <c r="B4" t="s">
        <v>249</v>
      </c>
      <c r="C4" s="30">
        <f>(-'Financial Statements'!B96/'Financial Statements'!B8)</f>
        <v>2.7155058732831552E-2</v>
      </c>
      <c r="D4" s="27" t="s">
        <v>226</v>
      </c>
      <c r="E4" t="s">
        <v>251</v>
      </c>
      <c r="F4" s="30">
        <f>(-'Financial Statements'!C96/'Financial Statements'!C8)</f>
        <v>3.0302036264033657E-2</v>
      </c>
      <c r="G4" t="s">
        <v>203</v>
      </c>
      <c r="H4" s="27" t="s">
        <v>228</v>
      </c>
    </row>
    <row r="6" spans="1:8" x14ac:dyDescent="0.25">
      <c r="A6" t="s">
        <v>250</v>
      </c>
      <c r="C6" s="29">
        <f>(-'Financial Statements'!B96/'Financial Statements'!B47)</f>
        <v>4.9266160570508394E-2</v>
      </c>
      <c r="D6" s="27" t="s">
        <v>227</v>
      </c>
      <c r="E6" t="s">
        <v>251</v>
      </c>
      <c r="F6" s="30">
        <f>(-'Financial Statements'!C96/'Financial Statements'!C47)</f>
        <v>5.1280034788079534E-2</v>
      </c>
      <c r="H6" s="27" t="s">
        <v>229</v>
      </c>
    </row>
    <row r="8" spans="1:8" x14ac:dyDescent="0.25">
      <c r="A8" t="s">
        <v>223</v>
      </c>
      <c r="B8" s="27">
        <f>('Financial Statements'!B113/'Financial Statements'!B20)</f>
        <v>0.1643367505436471</v>
      </c>
      <c r="G8" t="s">
        <v>202</v>
      </c>
    </row>
    <row r="9" spans="1:8" x14ac:dyDescent="0.25">
      <c r="A9" t="s">
        <v>224</v>
      </c>
      <c r="B9" s="27">
        <f>('Financial Statements'!C113/'Financial Statements'!C20)</f>
        <v>0.23244846942045841</v>
      </c>
    </row>
    <row r="10" spans="1:8" x14ac:dyDescent="0.25">
      <c r="A10" t="s">
        <v>225</v>
      </c>
      <c r="B10" s="27">
        <f>('Financial Statements'!D113/'Financial Statements'!D20)</f>
        <v>0.14161362924982487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7"/>
  <sheetViews>
    <sheetView topLeftCell="A171" zoomScaleNormal="100" workbookViewId="0">
      <selection activeCell="D184" sqref="D184"/>
    </sheetView>
  </sheetViews>
  <sheetFormatPr defaultRowHeight="15" x14ac:dyDescent="0.25"/>
  <cols>
    <col min="1" max="1" width="59" customWidth="1"/>
    <col min="2" max="2" width="14.28515625" bestFit="1" customWidth="1"/>
    <col min="3" max="3" width="11.5703125" bestFit="1" customWidth="1"/>
    <col min="4" max="4" width="11.7109375" bestFit="1" customWidth="1"/>
  </cols>
  <sheetData>
    <row r="1" spans="1:10" ht="60" customHeight="1" x14ac:dyDescent="0.25">
      <c r="A1" s="6" t="s">
        <v>0</v>
      </c>
      <c r="B1" s="4" t="s">
        <v>2</v>
      </c>
      <c r="C1" s="4"/>
      <c r="D1" s="4"/>
      <c r="E1" s="4"/>
      <c r="F1" s="4"/>
      <c r="G1" s="4"/>
      <c r="H1" s="4"/>
      <c r="I1" s="4"/>
      <c r="J1" s="4"/>
    </row>
    <row r="2" spans="1:10" x14ac:dyDescent="0.25">
      <c r="A2" s="32" t="s">
        <v>1</v>
      </c>
      <c r="B2" s="32"/>
      <c r="C2" s="32"/>
      <c r="D2" s="32"/>
    </row>
    <row r="3" spans="1:10" x14ac:dyDescent="0.25">
      <c r="B3" s="31" t="s">
        <v>23</v>
      </c>
      <c r="C3" s="31"/>
      <c r="D3" s="31"/>
    </row>
    <row r="4" spans="1:10" x14ac:dyDescent="0.25">
      <c r="B4" s="7">
        <v>2022</v>
      </c>
      <c r="C4" s="7">
        <v>2021</v>
      </c>
      <c r="D4" s="7">
        <v>2020</v>
      </c>
    </row>
    <row r="5" spans="1:10" x14ac:dyDescent="0.25">
      <c r="A5" t="s">
        <v>3</v>
      </c>
    </row>
    <row r="6" spans="1:10" x14ac:dyDescent="0.25">
      <c r="A6" s="1" t="s">
        <v>4</v>
      </c>
      <c r="B6" s="12">
        <v>316199</v>
      </c>
      <c r="C6" s="12">
        <v>297392</v>
      </c>
      <c r="D6" s="12">
        <v>220747</v>
      </c>
    </row>
    <row r="7" spans="1:10" x14ac:dyDescent="0.25">
      <c r="A7" s="1" t="s">
        <v>5</v>
      </c>
      <c r="B7" s="12">
        <v>78129</v>
      </c>
      <c r="C7" s="12">
        <v>68425</v>
      </c>
      <c r="D7" s="12">
        <v>53768</v>
      </c>
    </row>
    <row r="8" spans="1:10" x14ac:dyDescent="0.25">
      <c r="A8" s="8" t="s">
        <v>6</v>
      </c>
      <c r="B8" s="13">
        <f>+B6+B7</f>
        <v>394328</v>
      </c>
      <c r="C8" s="13">
        <f>+C6+C7</f>
        <v>365817</v>
      </c>
      <c r="D8" s="13">
        <f>+D6+D7</f>
        <v>274515</v>
      </c>
    </row>
    <row r="9" spans="1:10" x14ac:dyDescent="0.25">
      <c r="A9" t="s">
        <v>7</v>
      </c>
      <c r="B9" s="12"/>
      <c r="C9" s="12"/>
      <c r="D9" s="12"/>
    </row>
    <row r="10" spans="1:10" x14ac:dyDescent="0.25">
      <c r="A10" s="1" t="s">
        <v>4</v>
      </c>
      <c r="B10" s="12">
        <v>201471</v>
      </c>
      <c r="C10" s="12">
        <v>192266</v>
      </c>
      <c r="D10" s="12">
        <v>151286</v>
      </c>
    </row>
    <row r="11" spans="1:10" x14ac:dyDescent="0.25">
      <c r="A11" s="1" t="s">
        <v>5</v>
      </c>
      <c r="B11" s="12">
        <v>22075</v>
      </c>
      <c r="C11" s="12">
        <v>20715</v>
      </c>
      <c r="D11" s="12">
        <v>18273</v>
      </c>
    </row>
    <row r="12" spans="1:10" x14ac:dyDescent="0.25">
      <c r="A12" s="8" t="s">
        <v>8</v>
      </c>
      <c r="B12" s="13">
        <f>+B10+B11</f>
        <v>223546</v>
      </c>
      <c r="C12" s="13">
        <f>+C10+C11</f>
        <v>212981</v>
      </c>
      <c r="D12" s="13">
        <f>+D10+D11</f>
        <v>169559</v>
      </c>
    </row>
    <row r="13" spans="1:10" x14ac:dyDescent="0.25">
      <c r="A13" s="8" t="s">
        <v>9</v>
      </c>
      <c r="B13" s="13">
        <f>+B8-B12</f>
        <v>170782</v>
      </c>
      <c r="C13" s="13">
        <f>+C8-C12</f>
        <v>152836</v>
      </c>
      <c r="D13" s="13">
        <f>+D8-D12</f>
        <v>104956</v>
      </c>
    </row>
    <row r="14" spans="1:10" x14ac:dyDescent="0.25">
      <c r="A14" t="s">
        <v>10</v>
      </c>
      <c r="B14" s="12"/>
      <c r="C14" s="12"/>
      <c r="D14" s="12"/>
    </row>
    <row r="15" spans="1:10" x14ac:dyDescent="0.25">
      <c r="A15" s="1" t="s">
        <v>11</v>
      </c>
      <c r="B15" s="12">
        <v>26251</v>
      </c>
      <c r="C15" s="12">
        <v>21914</v>
      </c>
      <c r="D15" s="12">
        <v>18752</v>
      </c>
    </row>
    <row r="16" spans="1:10" x14ac:dyDescent="0.25">
      <c r="A16" s="1" t="s">
        <v>12</v>
      </c>
      <c r="B16" s="12">
        <v>25094</v>
      </c>
      <c r="C16" s="12">
        <v>21973</v>
      </c>
      <c r="D16" s="12">
        <v>19916</v>
      </c>
    </row>
    <row r="17" spans="1:4" x14ac:dyDescent="0.25">
      <c r="A17" s="8" t="s">
        <v>13</v>
      </c>
      <c r="B17" s="13">
        <f>+B15+B16</f>
        <v>51345</v>
      </c>
      <c r="C17" s="13">
        <f>+C15+C16</f>
        <v>43887</v>
      </c>
      <c r="D17" s="13">
        <f>+D15+D16</f>
        <v>38668</v>
      </c>
    </row>
    <row r="18" spans="1:4" s="7" customFormat="1" x14ac:dyDescent="0.25">
      <c r="A18" s="8" t="s">
        <v>14</v>
      </c>
      <c r="B18" s="13">
        <f>+B13-B17</f>
        <v>119437</v>
      </c>
      <c r="C18" s="13">
        <f>+C13-C17</f>
        <v>108949</v>
      </c>
      <c r="D18" s="13">
        <f>+D13-D17</f>
        <v>66288</v>
      </c>
    </row>
    <row r="19" spans="1:4" x14ac:dyDescent="0.25">
      <c r="A19" t="s">
        <v>15</v>
      </c>
      <c r="B19" s="12">
        <v>-334</v>
      </c>
      <c r="C19" s="12">
        <v>258</v>
      </c>
      <c r="D19" s="12">
        <v>803</v>
      </c>
    </row>
    <row r="20" spans="1:4" x14ac:dyDescent="0.25">
      <c r="A20" s="8" t="s">
        <v>16</v>
      </c>
      <c r="B20" s="13">
        <f>+B18+B19</f>
        <v>119103</v>
      </c>
      <c r="C20" s="13">
        <f>+C18+C19</f>
        <v>109207</v>
      </c>
      <c r="D20" s="13">
        <f>+D18+D19</f>
        <v>67091</v>
      </c>
    </row>
    <row r="21" spans="1:4" x14ac:dyDescent="0.25">
      <c r="A21" t="s">
        <v>17</v>
      </c>
      <c r="B21" s="12">
        <v>19300</v>
      </c>
      <c r="C21" s="12">
        <v>14527</v>
      </c>
      <c r="D21" s="12">
        <v>9680</v>
      </c>
    </row>
    <row r="22" spans="1:4" ht="15.75" thickBot="1" x14ac:dyDescent="0.3">
      <c r="A22" s="9" t="s">
        <v>18</v>
      </c>
      <c r="B22" s="14">
        <f>+B20-B21</f>
        <v>99803</v>
      </c>
      <c r="C22" s="14">
        <f>+C20-C21</f>
        <v>94680</v>
      </c>
      <c r="D22" s="14">
        <f>+D20-D21</f>
        <v>57411</v>
      </c>
    </row>
    <row r="23" spans="1:4" ht="15.75" thickTop="1" x14ac:dyDescent="0.25">
      <c r="A23" t="s">
        <v>19</v>
      </c>
    </row>
    <row r="24" spans="1:4" x14ac:dyDescent="0.25">
      <c r="A24" s="1" t="s">
        <v>20</v>
      </c>
      <c r="B24" s="10">
        <v>6.15</v>
      </c>
      <c r="C24" s="10">
        <v>5.67</v>
      </c>
      <c r="D24" s="10">
        <v>3.31</v>
      </c>
    </row>
    <row r="25" spans="1:4" x14ac:dyDescent="0.25">
      <c r="A25" s="1" t="s">
        <v>21</v>
      </c>
      <c r="B25" s="10">
        <v>6.11</v>
      </c>
      <c r="C25" s="10">
        <v>5.61</v>
      </c>
      <c r="D25" s="10">
        <v>3.28</v>
      </c>
    </row>
    <row r="26" spans="1:4" x14ac:dyDescent="0.25">
      <c r="A26" t="s">
        <v>22</v>
      </c>
    </row>
    <row r="27" spans="1:4" x14ac:dyDescent="0.25">
      <c r="A27" s="1" t="s">
        <v>20</v>
      </c>
      <c r="B27" s="2">
        <v>16215963</v>
      </c>
      <c r="C27" s="2">
        <v>16701272</v>
      </c>
      <c r="D27" s="2">
        <v>17352119</v>
      </c>
    </row>
    <row r="28" spans="1:4" x14ac:dyDescent="0.25">
      <c r="A28" s="1" t="s">
        <v>21</v>
      </c>
      <c r="B28" s="2">
        <v>16325819</v>
      </c>
      <c r="C28" s="2">
        <v>16864919</v>
      </c>
      <c r="D28" s="2">
        <v>17528214</v>
      </c>
    </row>
    <row r="31" spans="1:4" x14ac:dyDescent="0.25">
      <c r="A31" s="32" t="s">
        <v>24</v>
      </c>
      <c r="B31" s="32"/>
      <c r="C31" s="32"/>
      <c r="D31" s="32"/>
    </row>
    <row r="32" spans="1:4" x14ac:dyDescent="0.25">
      <c r="B32" s="31" t="s">
        <v>121</v>
      </c>
      <c r="C32" s="31"/>
      <c r="D32" s="31"/>
    </row>
    <row r="33" spans="1:4" x14ac:dyDescent="0.25">
      <c r="B33" s="7">
        <f>+B4</f>
        <v>2022</v>
      </c>
      <c r="C33" s="7">
        <f>+C4</f>
        <v>2021</v>
      </c>
      <c r="D33" s="7">
        <f>+D4</f>
        <v>2020</v>
      </c>
    </row>
    <row r="35" spans="1:4" x14ac:dyDescent="0.25">
      <c r="A35" t="s">
        <v>25</v>
      </c>
    </row>
    <row r="36" spans="1:4" x14ac:dyDescent="0.25">
      <c r="A36" s="1" t="s">
        <v>26</v>
      </c>
      <c r="B36" s="12">
        <v>23646</v>
      </c>
      <c r="C36" s="12">
        <v>34940</v>
      </c>
      <c r="D36" s="12">
        <v>38016</v>
      </c>
    </row>
    <row r="37" spans="1:4" x14ac:dyDescent="0.25">
      <c r="A37" s="1" t="s">
        <v>27</v>
      </c>
      <c r="B37" s="12">
        <v>24658</v>
      </c>
      <c r="C37" s="12">
        <v>27699</v>
      </c>
      <c r="D37" s="12">
        <v>52927</v>
      </c>
    </row>
    <row r="38" spans="1:4" x14ac:dyDescent="0.25">
      <c r="A38" s="1" t="s">
        <v>28</v>
      </c>
      <c r="B38" s="12">
        <v>28184</v>
      </c>
      <c r="C38" s="12">
        <v>26278</v>
      </c>
      <c r="D38" s="12">
        <v>16120</v>
      </c>
    </row>
    <row r="39" spans="1:4" x14ac:dyDescent="0.25">
      <c r="A39" s="1" t="s">
        <v>29</v>
      </c>
      <c r="B39" s="12">
        <v>4946</v>
      </c>
      <c r="C39" s="12">
        <v>6580</v>
      </c>
      <c r="D39" s="12">
        <v>4061</v>
      </c>
    </row>
    <row r="40" spans="1:4" x14ac:dyDescent="0.25">
      <c r="A40" s="1" t="s">
        <v>47</v>
      </c>
      <c r="B40" s="12">
        <v>32748</v>
      </c>
      <c r="C40" s="12">
        <v>25228</v>
      </c>
      <c r="D40" s="12">
        <v>21325</v>
      </c>
    </row>
    <row r="41" spans="1:4" x14ac:dyDescent="0.25">
      <c r="A41" s="1" t="s">
        <v>30</v>
      </c>
      <c r="B41" s="12">
        <v>21223</v>
      </c>
      <c r="C41" s="12">
        <v>14111</v>
      </c>
      <c r="D41" s="12">
        <v>11264</v>
      </c>
    </row>
    <row r="42" spans="1:4" x14ac:dyDescent="0.25">
      <c r="A42" s="8" t="s">
        <v>31</v>
      </c>
      <c r="B42" s="13">
        <f>+SUM(B36:B41)</f>
        <v>135405</v>
      </c>
      <c r="C42" s="13">
        <f>+SUM(C36:C41)</f>
        <v>134836</v>
      </c>
      <c r="D42" s="13">
        <f>+SUM(D36:D41)</f>
        <v>143713</v>
      </c>
    </row>
    <row r="43" spans="1:4" x14ac:dyDescent="0.25">
      <c r="A43" t="s">
        <v>48</v>
      </c>
      <c r="B43" s="12"/>
      <c r="C43" s="12"/>
      <c r="D43" s="12"/>
    </row>
    <row r="44" spans="1:4" x14ac:dyDescent="0.25">
      <c r="A44" s="1" t="s">
        <v>27</v>
      </c>
      <c r="B44" s="12">
        <v>120805</v>
      </c>
      <c r="C44" s="12">
        <v>127877</v>
      </c>
      <c r="D44" s="12">
        <v>100887</v>
      </c>
    </row>
    <row r="45" spans="1:4" x14ac:dyDescent="0.25">
      <c r="A45" s="1" t="s">
        <v>32</v>
      </c>
      <c r="B45" s="12">
        <v>42117</v>
      </c>
      <c r="C45" s="12">
        <v>39440</v>
      </c>
      <c r="D45" s="12">
        <v>36766</v>
      </c>
    </row>
    <row r="46" spans="1:4" x14ac:dyDescent="0.25">
      <c r="A46" s="1" t="s">
        <v>49</v>
      </c>
      <c r="B46" s="12">
        <v>54428</v>
      </c>
      <c r="C46" s="12">
        <v>48849</v>
      </c>
      <c r="D46" s="12">
        <v>42522</v>
      </c>
    </row>
    <row r="47" spans="1:4" x14ac:dyDescent="0.25">
      <c r="A47" s="8" t="s">
        <v>50</v>
      </c>
      <c r="B47" s="13">
        <f>+SUM(B44:B46)</f>
        <v>217350</v>
      </c>
      <c r="C47" s="13">
        <f>+SUM(C44:C46)</f>
        <v>216166</v>
      </c>
      <c r="D47" s="13">
        <f>+SUM(D44:D46)</f>
        <v>180175</v>
      </c>
    </row>
    <row r="48" spans="1:4" ht="15.75" thickBot="1" x14ac:dyDescent="0.3">
      <c r="A48" s="9" t="s">
        <v>33</v>
      </c>
      <c r="B48" s="14">
        <f>+B42+B47</f>
        <v>352755</v>
      </c>
      <c r="C48" s="14">
        <f>+C42+C47</f>
        <v>351002</v>
      </c>
      <c r="D48" s="14">
        <f>+D42+D47</f>
        <v>323888</v>
      </c>
    </row>
    <row r="49" spans="1:4" ht="15.75" thickTop="1" x14ac:dyDescent="0.25"/>
    <row r="50" spans="1:4" x14ac:dyDescent="0.25">
      <c r="A50" t="s">
        <v>34</v>
      </c>
    </row>
    <row r="51" spans="1:4" x14ac:dyDescent="0.25">
      <c r="A51" s="1" t="s">
        <v>35</v>
      </c>
      <c r="B51" s="12">
        <v>64115</v>
      </c>
      <c r="C51" s="12">
        <v>54763</v>
      </c>
      <c r="D51" s="12">
        <v>42296</v>
      </c>
    </row>
    <row r="52" spans="1:4" x14ac:dyDescent="0.25">
      <c r="A52" s="1" t="s">
        <v>36</v>
      </c>
      <c r="B52" s="12">
        <v>60845</v>
      </c>
      <c r="C52" s="12">
        <v>47493</v>
      </c>
      <c r="D52" s="12">
        <v>42684</v>
      </c>
    </row>
    <row r="53" spans="1:4" x14ac:dyDescent="0.25">
      <c r="A53" s="1" t="s">
        <v>37</v>
      </c>
      <c r="B53" s="12">
        <v>7912</v>
      </c>
      <c r="C53" s="12">
        <v>7612</v>
      </c>
      <c r="D53" s="12">
        <v>6643</v>
      </c>
    </row>
    <row r="54" spans="1:4" x14ac:dyDescent="0.25">
      <c r="A54" s="1" t="s">
        <v>38</v>
      </c>
      <c r="B54" s="12">
        <v>9982</v>
      </c>
      <c r="C54" s="12">
        <v>6000</v>
      </c>
      <c r="D54" s="12">
        <v>4996</v>
      </c>
    </row>
    <row r="55" spans="1:4" x14ac:dyDescent="0.25">
      <c r="A55" s="1" t="s">
        <v>39</v>
      </c>
      <c r="B55" s="12">
        <v>11128</v>
      </c>
      <c r="C55" s="12">
        <v>9613</v>
      </c>
      <c r="D55" s="12">
        <v>8773</v>
      </c>
    </row>
    <row r="56" spans="1:4" x14ac:dyDescent="0.25">
      <c r="A56" s="8" t="s">
        <v>40</v>
      </c>
      <c r="B56" s="13">
        <f>+SUM(B51:B55)</f>
        <v>153982</v>
      </c>
      <c r="C56" s="13">
        <f>+SUM(C51:C55)</f>
        <v>125481</v>
      </c>
      <c r="D56" s="13">
        <f>+SUM(D51:D55)</f>
        <v>105392</v>
      </c>
    </row>
    <row r="57" spans="1:4" x14ac:dyDescent="0.25">
      <c r="A57" t="s">
        <v>51</v>
      </c>
      <c r="B57" s="12"/>
      <c r="C57" s="12"/>
      <c r="D57" s="12"/>
    </row>
    <row r="58" spans="1:4" x14ac:dyDescent="0.25">
      <c r="A58" s="1" t="s">
        <v>37</v>
      </c>
      <c r="B58" s="12"/>
      <c r="C58" s="12"/>
      <c r="D58" s="12"/>
    </row>
    <row r="59" spans="1:4" x14ac:dyDescent="0.25">
      <c r="A59" s="1" t="s">
        <v>39</v>
      </c>
      <c r="B59" s="12">
        <v>98959</v>
      </c>
      <c r="C59" s="12">
        <v>109106</v>
      </c>
      <c r="D59" s="12">
        <v>98667</v>
      </c>
    </row>
    <row r="60" spans="1:4" x14ac:dyDescent="0.25">
      <c r="A60" s="1" t="s">
        <v>52</v>
      </c>
      <c r="B60" s="12">
        <v>49142</v>
      </c>
      <c r="C60" s="12">
        <v>53325</v>
      </c>
      <c r="D60" s="12">
        <v>54490</v>
      </c>
    </row>
    <row r="61" spans="1:4" x14ac:dyDescent="0.25">
      <c r="A61" s="22" t="s">
        <v>53</v>
      </c>
      <c r="B61" s="21">
        <f>+B59+B60</f>
        <v>148101</v>
      </c>
      <c r="C61" s="21">
        <f>+C59+C60</f>
        <v>162431</v>
      </c>
      <c r="D61" s="21">
        <f>+D59+D60</f>
        <v>153157</v>
      </c>
    </row>
    <row r="62" spans="1:4" x14ac:dyDescent="0.25">
      <c r="A62" s="8" t="s">
        <v>41</v>
      </c>
      <c r="B62" s="13">
        <f>+B56+B61</f>
        <v>302083</v>
      </c>
      <c r="C62" s="13">
        <f>+C56+C61</f>
        <v>287912</v>
      </c>
      <c r="D62" s="13">
        <f>+D56+D61</f>
        <v>258549</v>
      </c>
    </row>
    <row r="63" spans="1:4" x14ac:dyDescent="0.25">
      <c r="B63" s="12"/>
      <c r="C63" s="12"/>
      <c r="D63" s="12"/>
    </row>
    <row r="64" spans="1:4" x14ac:dyDescent="0.25">
      <c r="A64" t="s">
        <v>42</v>
      </c>
      <c r="B64" s="12"/>
      <c r="C64" s="12"/>
      <c r="D64" s="12"/>
    </row>
    <row r="65" spans="1:4" x14ac:dyDescent="0.25">
      <c r="A65" s="1" t="s">
        <v>54</v>
      </c>
      <c r="B65" s="12">
        <v>64849</v>
      </c>
      <c r="C65" s="12">
        <v>57365</v>
      </c>
      <c r="D65" s="12">
        <v>50779</v>
      </c>
    </row>
    <row r="66" spans="1:4" x14ac:dyDescent="0.25">
      <c r="A66" s="1" t="s">
        <v>43</v>
      </c>
      <c r="B66" s="12">
        <v>-3068</v>
      </c>
      <c r="C66" s="12">
        <v>5562</v>
      </c>
      <c r="D66" s="12">
        <v>14966</v>
      </c>
    </row>
    <row r="67" spans="1:4" x14ac:dyDescent="0.25">
      <c r="A67" s="1" t="s">
        <v>44</v>
      </c>
      <c r="B67" s="12">
        <v>-11109</v>
      </c>
      <c r="C67" s="12">
        <v>163</v>
      </c>
      <c r="D67" s="12">
        <v>-406</v>
      </c>
    </row>
    <row r="68" spans="1:4" x14ac:dyDescent="0.25">
      <c r="A68" s="8" t="s">
        <v>45</v>
      </c>
      <c r="B68" s="13">
        <f>+SUM(B65:B67)</f>
        <v>50672</v>
      </c>
      <c r="C68" s="13">
        <f>+SUM(C65:C67)</f>
        <v>63090</v>
      </c>
      <c r="D68" s="13">
        <f>+SUM(D65:D67)</f>
        <v>65339</v>
      </c>
    </row>
    <row r="69" spans="1:4" ht="15.75" thickBot="1" x14ac:dyDescent="0.3">
      <c r="A69" s="9" t="s">
        <v>46</v>
      </c>
      <c r="B69" s="14">
        <f>+B68+B62</f>
        <v>352755</v>
      </c>
      <c r="C69" s="14">
        <f>+C68+C62</f>
        <v>351002</v>
      </c>
      <c r="D69" s="14">
        <f>+D68+D62</f>
        <v>323888</v>
      </c>
    </row>
    <row r="70" spans="1:4" ht="15.75" thickTop="1" x14ac:dyDescent="0.25"/>
    <row r="71" spans="1:4" x14ac:dyDescent="0.25">
      <c r="A71" s="32" t="s">
        <v>55</v>
      </c>
      <c r="B71" s="32"/>
      <c r="C71" s="32"/>
      <c r="D71" s="32"/>
    </row>
    <row r="72" spans="1:4" x14ac:dyDescent="0.25">
      <c r="B72" s="31" t="s">
        <v>23</v>
      </c>
      <c r="C72" s="31"/>
      <c r="D72" s="31"/>
    </row>
    <row r="73" spans="1:4" x14ac:dyDescent="0.25">
      <c r="B73" s="7">
        <f>+B33</f>
        <v>2022</v>
      </c>
      <c r="C73" s="7">
        <f>+C33</f>
        <v>2021</v>
      </c>
      <c r="D73" s="7">
        <f>+D33</f>
        <v>2020</v>
      </c>
    </row>
    <row r="75" spans="1:4" x14ac:dyDescent="0.25">
      <c r="A75" s="7" t="s">
        <v>56</v>
      </c>
      <c r="B75" s="15"/>
      <c r="C75" s="15"/>
      <c r="D75" s="15"/>
    </row>
    <row r="76" spans="1:4" x14ac:dyDescent="0.25">
      <c r="A76" t="s">
        <v>57</v>
      </c>
      <c r="B76" s="12">
        <f>+B22</f>
        <v>99803</v>
      </c>
      <c r="C76" s="12">
        <f>+C22</f>
        <v>94680</v>
      </c>
      <c r="D76" s="12">
        <f>+D22</f>
        <v>57411</v>
      </c>
    </row>
    <row r="77" spans="1:4" x14ac:dyDescent="0.25">
      <c r="A77" s="11" t="s">
        <v>18</v>
      </c>
      <c r="B77" s="15"/>
      <c r="C77" s="15"/>
      <c r="D77" s="15"/>
    </row>
    <row r="78" spans="1:4" x14ac:dyDescent="0.25">
      <c r="A78" s="1" t="s">
        <v>58</v>
      </c>
      <c r="B78" s="12"/>
      <c r="C78" s="12"/>
      <c r="D78" s="12"/>
    </row>
    <row r="79" spans="1:4" x14ac:dyDescent="0.25">
      <c r="A79" s="3" t="s">
        <v>59</v>
      </c>
      <c r="B79" s="12">
        <v>11104</v>
      </c>
      <c r="C79" s="12">
        <v>11284</v>
      </c>
      <c r="D79" s="12">
        <v>11056</v>
      </c>
    </row>
    <row r="80" spans="1:4" x14ac:dyDescent="0.25">
      <c r="A80" s="3" t="s">
        <v>83</v>
      </c>
      <c r="B80" s="12">
        <v>9038</v>
      </c>
      <c r="C80" s="12">
        <v>7906</v>
      </c>
      <c r="D80" s="12">
        <v>6829</v>
      </c>
    </row>
    <row r="81" spans="1:4" x14ac:dyDescent="0.25">
      <c r="A81" s="3" t="s">
        <v>60</v>
      </c>
      <c r="B81" s="12">
        <v>895</v>
      </c>
      <c r="C81" s="12">
        <v>-4774</v>
      </c>
      <c r="D81" s="12">
        <v>-215</v>
      </c>
    </row>
    <row r="82" spans="1:4" x14ac:dyDescent="0.25">
      <c r="A82" s="3" t="s">
        <v>61</v>
      </c>
      <c r="B82" s="12">
        <v>111</v>
      </c>
      <c r="C82" s="12">
        <v>-147</v>
      </c>
      <c r="D82" s="12">
        <v>-97</v>
      </c>
    </row>
    <row r="83" spans="1:4" x14ac:dyDescent="0.25">
      <c r="A83" t="s">
        <v>62</v>
      </c>
      <c r="B83" s="12"/>
      <c r="C83" s="12"/>
      <c r="D83" s="12"/>
    </row>
    <row r="84" spans="1:4" x14ac:dyDescent="0.25">
      <c r="A84" s="1" t="s">
        <v>28</v>
      </c>
      <c r="B84" s="12">
        <v>-1823</v>
      </c>
      <c r="C84" s="12">
        <v>-10125</v>
      </c>
      <c r="D84" s="12">
        <v>6917</v>
      </c>
    </row>
    <row r="85" spans="1:4" x14ac:dyDescent="0.25">
      <c r="A85" s="1" t="s">
        <v>29</v>
      </c>
      <c r="B85" s="12">
        <v>1484</v>
      </c>
      <c r="C85" s="12">
        <v>-2642</v>
      </c>
      <c r="D85" s="12">
        <v>-127</v>
      </c>
    </row>
    <row r="86" spans="1:4" x14ac:dyDescent="0.25">
      <c r="A86" s="1" t="s">
        <v>47</v>
      </c>
      <c r="B86" s="12">
        <v>-7520</v>
      </c>
      <c r="C86" s="12">
        <v>-3903</v>
      </c>
      <c r="D86" s="12">
        <v>1553</v>
      </c>
    </row>
    <row r="87" spans="1:4" x14ac:dyDescent="0.25">
      <c r="A87" s="1" t="s">
        <v>84</v>
      </c>
      <c r="B87" s="12">
        <v>-6499</v>
      </c>
      <c r="C87" s="12">
        <v>-8042</v>
      </c>
      <c r="D87" s="12">
        <v>-9588</v>
      </c>
    </row>
    <row r="88" spans="1:4" x14ac:dyDescent="0.25">
      <c r="A88" s="1" t="s">
        <v>35</v>
      </c>
      <c r="B88" s="12">
        <v>9448</v>
      </c>
      <c r="C88" s="12">
        <v>12326</v>
      </c>
      <c r="D88" s="12">
        <v>-4062</v>
      </c>
    </row>
    <row r="89" spans="1:4" x14ac:dyDescent="0.25">
      <c r="A89" s="1" t="s">
        <v>37</v>
      </c>
      <c r="B89" s="12">
        <v>478</v>
      </c>
      <c r="C89" s="12">
        <v>1676</v>
      </c>
      <c r="D89" s="12">
        <v>2081</v>
      </c>
    </row>
    <row r="90" spans="1:4" x14ac:dyDescent="0.25">
      <c r="A90" s="1" t="s">
        <v>85</v>
      </c>
      <c r="B90" s="12">
        <v>5632</v>
      </c>
      <c r="C90" s="12">
        <v>5799</v>
      </c>
      <c r="D90" s="12">
        <v>8916</v>
      </c>
    </row>
    <row r="91" spans="1:4" x14ac:dyDescent="0.25">
      <c r="A91" s="8" t="s">
        <v>63</v>
      </c>
      <c r="B91" s="13">
        <f>+SUM(B76:B90)</f>
        <v>122151</v>
      </c>
      <c r="C91" s="13">
        <f>+SUM(C76:C90)</f>
        <v>104038</v>
      </c>
      <c r="D91" s="13">
        <f>+SUM(D76:D90)</f>
        <v>80674</v>
      </c>
    </row>
    <row r="92" spans="1:4" x14ac:dyDescent="0.25">
      <c r="A92" s="7" t="s">
        <v>64</v>
      </c>
      <c r="B92" s="12"/>
      <c r="C92" s="12"/>
      <c r="D92" s="12"/>
    </row>
    <row r="93" spans="1:4" x14ac:dyDescent="0.25">
      <c r="A93" s="1" t="s">
        <v>65</v>
      </c>
      <c r="B93" s="12">
        <v>-76923</v>
      </c>
      <c r="C93" s="12">
        <v>-109558</v>
      </c>
      <c r="D93" s="12">
        <v>-114938</v>
      </c>
    </row>
    <row r="94" spans="1:4" x14ac:dyDescent="0.25">
      <c r="A94" s="1" t="s">
        <v>66</v>
      </c>
      <c r="B94" s="12">
        <v>29917</v>
      </c>
      <c r="C94" s="12">
        <v>59023</v>
      </c>
      <c r="D94" s="12">
        <v>69918</v>
      </c>
    </row>
    <row r="95" spans="1:4" x14ac:dyDescent="0.25">
      <c r="A95" s="1" t="s">
        <v>67</v>
      </c>
      <c r="B95" s="12">
        <v>37446</v>
      </c>
      <c r="C95" s="12">
        <v>47460</v>
      </c>
      <c r="D95" s="12">
        <v>50473</v>
      </c>
    </row>
    <row r="96" spans="1:4" x14ac:dyDescent="0.25">
      <c r="A96" s="1" t="s">
        <v>68</v>
      </c>
      <c r="B96" s="12">
        <v>-10708</v>
      </c>
      <c r="C96" s="12">
        <v>-11085</v>
      </c>
      <c r="D96" s="12">
        <v>-7309</v>
      </c>
    </row>
    <row r="97" spans="1:4" x14ac:dyDescent="0.25">
      <c r="A97" s="1" t="s">
        <v>69</v>
      </c>
      <c r="B97" s="12">
        <v>-306</v>
      </c>
      <c r="C97" s="12">
        <v>-33</v>
      </c>
      <c r="D97" s="12">
        <v>-1524</v>
      </c>
    </row>
    <row r="98" spans="1:4" x14ac:dyDescent="0.25">
      <c r="A98" s="1" t="s">
        <v>61</v>
      </c>
      <c r="B98" s="12">
        <v>-1780</v>
      </c>
      <c r="C98" s="12">
        <v>-352</v>
      </c>
      <c r="D98" s="12">
        <v>-909</v>
      </c>
    </row>
    <row r="99" spans="1:4" x14ac:dyDescent="0.25">
      <c r="A99" s="8" t="s">
        <v>70</v>
      </c>
      <c r="B99" s="13">
        <f>+SUM(B93:B98)</f>
        <v>-22354</v>
      </c>
      <c r="C99" s="13">
        <f>+SUM(C93:C98)</f>
        <v>-14545</v>
      </c>
      <c r="D99" s="13">
        <f>+SUM(D93:D98)</f>
        <v>-4289</v>
      </c>
    </row>
    <row r="100" spans="1:4" x14ac:dyDescent="0.25">
      <c r="A100" s="7" t="s">
        <v>71</v>
      </c>
      <c r="B100" s="12"/>
      <c r="C100" s="12"/>
      <c r="D100" s="12"/>
    </row>
    <row r="101" spans="1:4" x14ac:dyDescent="0.25">
      <c r="A101" s="1" t="s">
        <v>86</v>
      </c>
      <c r="B101" s="12">
        <v>-6223</v>
      </c>
      <c r="C101" s="12">
        <v>-6556</v>
      </c>
      <c r="D101" s="12">
        <v>-3634</v>
      </c>
    </row>
    <row r="102" spans="1:4" x14ac:dyDescent="0.25">
      <c r="A102" s="1" t="s">
        <v>72</v>
      </c>
      <c r="B102" s="12">
        <v>-14841</v>
      </c>
      <c r="C102" s="12">
        <v>-14467</v>
      </c>
      <c r="D102" s="12">
        <v>-14081</v>
      </c>
    </row>
    <row r="103" spans="1:4" x14ac:dyDescent="0.25">
      <c r="A103" s="1" t="s">
        <v>73</v>
      </c>
      <c r="B103" s="12">
        <v>-89402</v>
      </c>
      <c r="C103" s="12">
        <v>-85971</v>
      </c>
      <c r="D103" s="12">
        <v>-72358</v>
      </c>
    </row>
    <row r="104" spans="1:4" x14ac:dyDescent="0.25">
      <c r="A104" s="1" t="s">
        <v>74</v>
      </c>
      <c r="B104" s="12">
        <v>5465</v>
      </c>
      <c r="C104" s="12">
        <v>20393</v>
      </c>
      <c r="D104" s="12">
        <v>16091</v>
      </c>
    </row>
    <row r="105" spans="1:4" x14ac:dyDescent="0.25">
      <c r="A105" s="1" t="s">
        <v>75</v>
      </c>
      <c r="B105" s="12">
        <v>-9543</v>
      </c>
      <c r="C105" s="12">
        <v>-8750</v>
      </c>
      <c r="D105" s="12">
        <v>-12629</v>
      </c>
    </row>
    <row r="106" spans="1:4" x14ac:dyDescent="0.25">
      <c r="A106" s="1" t="s">
        <v>76</v>
      </c>
      <c r="B106" s="12">
        <v>3955</v>
      </c>
      <c r="C106" s="12">
        <v>1022</v>
      </c>
      <c r="D106" s="12">
        <v>-963</v>
      </c>
    </row>
    <row r="107" spans="1:4" x14ac:dyDescent="0.25">
      <c r="A107" s="1" t="s">
        <v>61</v>
      </c>
      <c r="B107" s="12">
        <v>-160</v>
      </c>
      <c r="C107" s="12">
        <v>976</v>
      </c>
      <c r="D107" s="12">
        <v>754</v>
      </c>
    </row>
    <row r="108" spans="1:4" x14ac:dyDescent="0.25">
      <c r="A108" s="8" t="s">
        <v>77</v>
      </c>
      <c r="B108" s="13">
        <f>+SUM(B101:B107)</f>
        <v>-110749</v>
      </c>
      <c r="C108" s="13">
        <f>+SUM(C101:C107)</f>
        <v>-93353</v>
      </c>
      <c r="D108" s="13">
        <f>+SUM(D101:D107)</f>
        <v>-86820</v>
      </c>
    </row>
    <row r="109" spans="1:4" x14ac:dyDescent="0.25">
      <c r="A109" s="8" t="s">
        <v>78</v>
      </c>
      <c r="B109" s="13">
        <f>+B91+B99+B108</f>
        <v>-10952</v>
      </c>
      <c r="C109" s="13">
        <f>+C91+C99+C108</f>
        <v>-3860</v>
      </c>
      <c r="D109" s="13">
        <f>+D91+D99+D108</f>
        <v>-10435</v>
      </c>
    </row>
    <row r="110" spans="1:4" ht="15.75" thickBot="1" x14ac:dyDescent="0.3">
      <c r="A110" s="9" t="s">
        <v>79</v>
      </c>
      <c r="B110" s="14">
        <v>24977</v>
      </c>
      <c r="C110" s="14">
        <v>35929</v>
      </c>
      <c r="D110" s="14">
        <v>39789</v>
      </c>
    </row>
    <row r="111" spans="1:4" ht="15.75" thickTop="1" x14ac:dyDescent="0.25">
      <c r="B111" s="12"/>
      <c r="C111" s="12"/>
      <c r="D111" s="12"/>
    </row>
    <row r="112" spans="1:4" x14ac:dyDescent="0.25">
      <c r="A112" t="s">
        <v>80</v>
      </c>
      <c r="B112" s="12"/>
      <c r="C112" s="12"/>
      <c r="D112" s="12"/>
    </row>
    <row r="113" spans="1:4" x14ac:dyDescent="0.25">
      <c r="A113" t="s">
        <v>81</v>
      </c>
      <c r="B113" s="12">
        <v>19573</v>
      </c>
      <c r="C113" s="12">
        <v>25385</v>
      </c>
      <c r="D113" s="12">
        <v>9501</v>
      </c>
    </row>
    <row r="114" spans="1:4" x14ac:dyDescent="0.25">
      <c r="A114" t="s">
        <v>82</v>
      </c>
      <c r="B114" s="12">
        <v>2865</v>
      </c>
      <c r="C114" s="12">
        <v>2687</v>
      </c>
      <c r="D114" s="12">
        <v>3002</v>
      </c>
    </row>
    <row r="116" spans="1:4" x14ac:dyDescent="0.25">
      <c r="A116" t="s">
        <v>133</v>
      </c>
    </row>
    <row r="117" spans="1:4" x14ac:dyDescent="0.25">
      <c r="A117" t="s">
        <v>134</v>
      </c>
    </row>
    <row r="118" spans="1:4" x14ac:dyDescent="0.25">
      <c r="A118" t="s">
        <v>135</v>
      </c>
    </row>
    <row r="119" spans="1:4" x14ac:dyDescent="0.25">
      <c r="A119" t="s">
        <v>136</v>
      </c>
    </row>
    <row r="120" spans="1:4" x14ac:dyDescent="0.25">
      <c r="A120" t="s">
        <v>137</v>
      </c>
    </row>
    <row r="121" spans="1:4" x14ac:dyDescent="0.25">
      <c r="A121" t="s">
        <v>138</v>
      </c>
    </row>
    <row r="122" spans="1:4" x14ac:dyDescent="0.25">
      <c r="A122" t="s">
        <v>139</v>
      </c>
    </row>
    <row r="123" spans="1:4" x14ac:dyDescent="0.25">
      <c r="A123" t="s">
        <v>140</v>
      </c>
    </row>
    <row r="124" spans="1:4" x14ac:dyDescent="0.25">
      <c r="A124" t="s">
        <v>141</v>
      </c>
    </row>
    <row r="125" spans="1:4" x14ac:dyDescent="0.25">
      <c r="A125" t="s">
        <v>207</v>
      </c>
    </row>
    <row r="126" spans="1:4" x14ac:dyDescent="0.25">
      <c r="A126" t="s">
        <v>142</v>
      </c>
    </row>
    <row r="127" spans="1:4" x14ac:dyDescent="0.25">
      <c r="A127" t="s">
        <v>143</v>
      </c>
    </row>
    <row r="128" spans="1:4" x14ac:dyDescent="0.25">
      <c r="A128" t="s">
        <v>144</v>
      </c>
    </row>
    <row r="129" spans="1:1" x14ac:dyDescent="0.25">
      <c r="A129" t="s">
        <v>145</v>
      </c>
    </row>
    <row r="130" spans="1:1" x14ac:dyDescent="0.25">
      <c r="A130" t="s">
        <v>146</v>
      </c>
    </row>
    <row r="131" spans="1:1" x14ac:dyDescent="0.25">
      <c r="A131" t="s">
        <v>147</v>
      </c>
    </row>
    <row r="132" spans="1:1" x14ac:dyDescent="0.25">
      <c r="A132" t="s">
        <v>110</v>
      </c>
    </row>
    <row r="133" spans="1:1" x14ac:dyDescent="0.25">
      <c r="A133" t="s">
        <v>148</v>
      </c>
    </row>
    <row r="134" spans="1:1" x14ac:dyDescent="0.25">
      <c r="A134" t="s">
        <v>149</v>
      </c>
    </row>
    <row r="135" spans="1:1" x14ac:dyDescent="0.25">
      <c r="A135" t="s">
        <v>111</v>
      </c>
    </row>
    <row r="136" spans="1:1" x14ac:dyDescent="0.25">
      <c r="A136" t="s">
        <v>106</v>
      </c>
    </row>
    <row r="137" spans="1:1" x14ac:dyDescent="0.25">
      <c r="A137" t="s">
        <v>150</v>
      </c>
    </row>
    <row r="138" spans="1:1" x14ac:dyDescent="0.25">
      <c r="A138" t="s">
        <v>151</v>
      </c>
    </row>
    <row r="139" spans="1:1" x14ac:dyDescent="0.25">
      <c r="A139" t="s">
        <v>152</v>
      </c>
    </row>
    <row r="140" spans="1:1" x14ac:dyDescent="0.25">
      <c r="A140" t="s">
        <v>153</v>
      </c>
    </row>
    <row r="141" spans="1:1" x14ac:dyDescent="0.25">
      <c r="A141" t="s">
        <v>154</v>
      </c>
    </row>
    <row r="142" spans="1:1" x14ac:dyDescent="0.25">
      <c r="A142" t="s">
        <v>155</v>
      </c>
    </row>
    <row r="143" spans="1:1" x14ac:dyDescent="0.25">
      <c r="A143" t="s">
        <v>156</v>
      </c>
    </row>
    <row r="144" spans="1:1" x14ac:dyDescent="0.25">
      <c r="A144" t="s">
        <v>157</v>
      </c>
    </row>
    <row r="145" spans="1:2" x14ac:dyDescent="0.25">
      <c r="A145" t="s">
        <v>158</v>
      </c>
    </row>
    <row r="146" spans="1:2" x14ac:dyDescent="0.25">
      <c r="A146" t="s">
        <v>159</v>
      </c>
    </row>
    <row r="147" spans="1:2" x14ac:dyDescent="0.25">
      <c r="A147" t="s">
        <v>160</v>
      </c>
    </row>
    <row r="148" spans="1:2" x14ac:dyDescent="0.25">
      <c r="A148" t="s">
        <v>161</v>
      </c>
    </row>
    <row r="149" spans="1:2" x14ac:dyDescent="0.25">
      <c r="A149" t="s">
        <v>162</v>
      </c>
    </row>
    <row r="150" spans="1:2" x14ac:dyDescent="0.25">
      <c r="A150" t="s">
        <v>163</v>
      </c>
    </row>
    <row r="151" spans="1:2" x14ac:dyDescent="0.25">
      <c r="A151" t="s">
        <v>104</v>
      </c>
    </row>
    <row r="152" spans="1:2" x14ac:dyDescent="0.25">
      <c r="A152" t="s">
        <v>164</v>
      </c>
      <c r="B152">
        <f>(C8-D8)/D8</f>
        <v>0.33259384733074693</v>
      </c>
    </row>
    <row r="153" spans="1:2" x14ac:dyDescent="0.25">
      <c r="A153" t="s">
        <v>89</v>
      </c>
      <c r="B153">
        <f>(C13-D13)/D13</f>
        <v>0.45619116582186819</v>
      </c>
    </row>
    <row r="154" spans="1:2" x14ac:dyDescent="0.25">
      <c r="A154" t="s">
        <v>165</v>
      </c>
      <c r="B154">
        <f>(C15-D15)/D15*100</f>
        <v>16.862201365187712</v>
      </c>
    </row>
    <row r="155" spans="1:2" x14ac:dyDescent="0.25">
      <c r="A155" t="s">
        <v>166</v>
      </c>
    </row>
    <row r="156" spans="1:2" x14ac:dyDescent="0.25">
      <c r="A156" t="s">
        <v>167</v>
      </c>
    </row>
    <row r="157" spans="1:2" x14ac:dyDescent="0.25">
      <c r="A157" t="s">
        <v>168</v>
      </c>
    </row>
    <row r="158" spans="1:2" x14ac:dyDescent="0.25">
      <c r="A158" t="s">
        <v>169</v>
      </c>
    </row>
    <row r="159" spans="1:2" x14ac:dyDescent="0.25">
      <c r="A159" t="s">
        <v>171</v>
      </c>
    </row>
    <row r="160" spans="1:2" x14ac:dyDescent="0.25">
      <c r="A160" t="s">
        <v>89</v>
      </c>
    </row>
    <row r="161" spans="1:1" x14ac:dyDescent="0.25">
      <c r="A161" t="s">
        <v>172</v>
      </c>
    </row>
    <row r="162" spans="1:1" x14ac:dyDescent="0.25">
      <c r="A162" t="s">
        <v>175</v>
      </c>
    </row>
    <row r="163" spans="1:1" x14ac:dyDescent="0.25">
      <c r="A163" t="s">
        <v>166</v>
      </c>
    </row>
    <row r="164" spans="1:1" x14ac:dyDescent="0.25">
      <c r="A164" t="s">
        <v>176</v>
      </c>
    </row>
    <row r="165" spans="1:1" x14ac:dyDescent="0.25">
      <c r="A165" t="s">
        <v>177</v>
      </c>
    </row>
    <row r="166" spans="1:1" x14ac:dyDescent="0.25">
      <c r="A166" t="s">
        <v>178</v>
      </c>
    </row>
    <row r="167" spans="1:1" x14ac:dyDescent="0.25">
      <c r="A167" t="s">
        <v>179</v>
      </c>
    </row>
    <row r="169" spans="1:1" x14ac:dyDescent="0.25">
      <c r="A169" t="s">
        <v>104</v>
      </c>
    </row>
    <row r="170" spans="1:1" x14ac:dyDescent="0.25">
      <c r="A170" t="s">
        <v>105</v>
      </c>
    </row>
    <row r="171" spans="1:1" x14ac:dyDescent="0.25">
      <c r="A171" t="s">
        <v>208</v>
      </c>
    </row>
    <row r="172" spans="1:1" x14ac:dyDescent="0.25">
      <c r="A172" t="s">
        <v>209</v>
      </c>
    </row>
    <row r="173" spans="1:1" x14ac:dyDescent="0.25">
      <c r="A173" t="s">
        <v>210</v>
      </c>
    </row>
    <row r="174" spans="1:1" x14ac:dyDescent="0.25">
      <c r="A174" t="s">
        <v>154</v>
      </c>
    </row>
    <row r="175" spans="1:1" x14ac:dyDescent="0.25">
      <c r="A175" t="s">
        <v>211</v>
      </c>
    </row>
    <row r="176" spans="1:1" x14ac:dyDescent="0.25">
      <c r="A176" t="s">
        <v>110</v>
      </c>
    </row>
    <row r="177" spans="1:4" x14ac:dyDescent="0.25">
      <c r="A177" t="s">
        <v>212</v>
      </c>
    </row>
    <row r="178" spans="1:4" x14ac:dyDescent="0.25">
      <c r="A178" t="s">
        <v>106</v>
      </c>
    </row>
    <row r="179" spans="1:4" x14ac:dyDescent="0.25">
      <c r="A179" t="s">
        <v>107</v>
      </c>
    </row>
    <row r="180" spans="1:4" x14ac:dyDescent="0.25">
      <c r="A180" t="s">
        <v>162</v>
      </c>
    </row>
    <row r="181" spans="1:4" x14ac:dyDescent="0.25">
      <c r="A181" s="27" t="s">
        <v>213</v>
      </c>
    </row>
    <row r="182" spans="1:4" x14ac:dyDescent="0.25">
      <c r="A182" t="s">
        <v>163</v>
      </c>
    </row>
    <row r="183" spans="1:4" x14ac:dyDescent="0.25">
      <c r="A183" t="s">
        <v>153</v>
      </c>
      <c r="B183" t="s">
        <v>243</v>
      </c>
    </row>
    <row r="184" spans="1:4" x14ac:dyDescent="0.25">
      <c r="A184" t="s">
        <v>254</v>
      </c>
    </row>
    <row r="185" spans="1:4" x14ac:dyDescent="0.25">
      <c r="A185" t="s">
        <v>215</v>
      </c>
    </row>
    <row r="186" spans="1:4" x14ac:dyDescent="0.25">
      <c r="A186" t="s">
        <v>216</v>
      </c>
    </row>
    <row r="187" spans="1:4" x14ac:dyDescent="0.25">
      <c r="A187" t="s">
        <v>111</v>
      </c>
    </row>
    <row r="188" spans="1:4" x14ac:dyDescent="0.25">
      <c r="A188" t="s">
        <v>217</v>
      </c>
    </row>
    <row r="189" spans="1:4" x14ac:dyDescent="0.25">
      <c r="A189" t="s">
        <v>218</v>
      </c>
    </row>
    <row r="190" spans="1:4" x14ac:dyDescent="0.25">
      <c r="A190" t="s">
        <v>219</v>
      </c>
    </row>
    <row r="191" spans="1:4" x14ac:dyDescent="0.25">
      <c r="A191" t="s">
        <v>220</v>
      </c>
    </row>
    <row r="192" spans="1:4" x14ac:dyDescent="0.25">
      <c r="A192" t="s">
        <v>221</v>
      </c>
      <c r="D192" s="24">
        <f>(-D96/D8)</f>
        <v>2.6625138881299748E-2</v>
      </c>
    </row>
    <row r="193" spans="1:1" x14ac:dyDescent="0.25">
      <c r="A193" t="s">
        <v>222</v>
      </c>
    </row>
    <row r="194" spans="1:1" x14ac:dyDescent="0.25">
      <c r="A194" t="s">
        <v>132</v>
      </c>
    </row>
    <row r="195" spans="1:1" x14ac:dyDescent="0.25">
      <c r="A195" t="s">
        <v>242</v>
      </c>
    </row>
    <row r="196" spans="1:1" x14ac:dyDescent="0.25">
      <c r="A196" t="s">
        <v>244</v>
      </c>
    </row>
    <row r="197" spans="1:1" x14ac:dyDescent="0.25">
      <c r="A197" t="s">
        <v>252</v>
      </c>
    </row>
  </sheetData>
  <mergeCells count="6">
    <mergeCell ref="B3:D3"/>
    <mergeCell ref="B32:D32"/>
    <mergeCell ref="B72:D72"/>
    <mergeCell ref="A2:D2"/>
    <mergeCell ref="A31:D31"/>
    <mergeCell ref="A71:D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List of Ratios</vt:lpstr>
      <vt:lpstr>Additional calculations</vt:lpstr>
      <vt:lpstr>Financial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jermaine essienyi</cp:lastModifiedBy>
  <dcterms:created xsi:type="dcterms:W3CDTF">2020-05-18T16:32:37Z</dcterms:created>
  <dcterms:modified xsi:type="dcterms:W3CDTF">2024-01-29T20:14:55Z</dcterms:modified>
</cp:coreProperties>
</file>