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avianroberts/Desktop/"/>
    </mc:Choice>
  </mc:AlternateContent>
  <xr:revisionPtr revIDLastSave="0" documentId="13_ncr:1_{25E501E0-B9CB-EE4C-B8E9-EB998016A9B4}" xr6:coauthVersionLast="46" xr6:coauthVersionMax="46" xr10:uidLastSave="{00000000-0000-0000-0000-000000000000}"/>
  <bookViews>
    <workbookView xWindow="0" yWindow="0" windowWidth="25600" windowHeight="16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/>
  <c r="C85" i="3"/>
  <c r="D84" i="3"/>
  <c r="E84" i="3"/>
  <c r="C84" i="3"/>
  <c r="D83" i="3"/>
  <c r="E83" i="3"/>
  <c r="C83" i="3"/>
  <c r="D82" i="3"/>
  <c r="E82" i="3"/>
  <c r="C82" i="3"/>
  <c r="D78" i="3"/>
  <c r="E78" i="3"/>
  <c r="D77" i="3"/>
  <c r="E77" i="3"/>
  <c r="D76" i="3"/>
  <c r="E76" i="3"/>
  <c r="D75" i="3"/>
  <c r="E75" i="3"/>
  <c r="D74" i="3"/>
  <c r="E74" i="3"/>
  <c r="D73" i="3"/>
  <c r="E73" i="3"/>
  <c r="C78" i="3"/>
  <c r="C77" i="3"/>
  <c r="C76" i="3"/>
  <c r="C75" i="3"/>
  <c r="C74" i="3"/>
  <c r="C73" i="3"/>
  <c r="D72" i="3"/>
  <c r="E72" i="3"/>
  <c r="C72" i="3"/>
  <c r="D68" i="3"/>
  <c r="E68" i="3"/>
  <c r="D69" i="3"/>
  <c r="E69" i="3"/>
  <c r="C69" i="3"/>
  <c r="C68" i="3"/>
  <c r="D65" i="3"/>
  <c r="E65" i="3"/>
  <c r="D66" i="3"/>
  <c r="E66" i="3"/>
  <c r="D67" i="3"/>
  <c r="E67" i="3"/>
  <c r="C67" i="3"/>
  <c r="C66" i="3"/>
  <c r="C65" i="3"/>
  <c r="D62" i="3"/>
  <c r="E62" i="3"/>
  <c r="D63" i="3"/>
  <c r="E63" i="3"/>
  <c r="D64" i="3"/>
  <c r="E64" i="3"/>
  <c r="C64" i="3"/>
  <c r="C63" i="3"/>
  <c r="C62" i="3"/>
  <c r="D59" i="3"/>
  <c r="E59" i="3"/>
  <c r="D60" i="3"/>
  <c r="E60" i="3"/>
  <c r="D61" i="3"/>
  <c r="E61" i="3"/>
  <c r="C60" i="3"/>
  <c r="C61" i="3"/>
  <c r="C59" i="3"/>
  <c r="D58" i="3"/>
  <c r="E58" i="3"/>
  <c r="C58" i="3"/>
  <c r="D56" i="3"/>
  <c r="E56" i="3"/>
  <c r="D57" i="3"/>
  <c r="E57" i="3"/>
  <c r="C57" i="3"/>
  <c r="C56" i="3"/>
  <c r="E55" i="3"/>
  <c r="D55" i="3"/>
  <c r="C55" i="3"/>
  <c r="D52" i="3"/>
  <c r="E52" i="3"/>
  <c r="C52" i="3"/>
  <c r="D48" i="3"/>
  <c r="E48" i="3"/>
  <c r="C48" i="3"/>
  <c r="D46" i="3"/>
  <c r="D47" i="3" s="1"/>
  <c r="E46" i="3"/>
  <c r="E47" i="3" s="1"/>
  <c r="C46" i="3"/>
  <c r="C47" i="3" s="1"/>
  <c r="D45" i="3"/>
  <c r="E45" i="3"/>
  <c r="C45" i="3"/>
  <c r="D43" i="3"/>
  <c r="D44" i="3" s="1"/>
  <c r="D42" i="3" s="1"/>
  <c r="E43" i="3"/>
  <c r="E44" i="3" s="1"/>
  <c r="E42" i="3" s="1"/>
  <c r="C43" i="3"/>
  <c r="C44" i="3" s="1"/>
  <c r="C42" i="3" s="1"/>
  <c r="D41" i="3"/>
  <c r="E41" i="3"/>
  <c r="C41" i="3"/>
  <c r="E40" i="3"/>
  <c r="D40" i="3"/>
  <c r="C40" i="3"/>
  <c r="D37" i="3"/>
  <c r="D50" i="3" s="1"/>
  <c r="E37" i="3"/>
  <c r="E50" i="3" s="1"/>
  <c r="C37" i="3"/>
  <c r="C50" i="3" s="1"/>
  <c r="D36" i="3"/>
  <c r="E36" i="3"/>
  <c r="C36" i="3"/>
  <c r="D35" i="3"/>
  <c r="E35" i="3"/>
  <c r="C35" i="3"/>
  <c r="D34" i="3"/>
  <c r="E34" i="3"/>
  <c r="C34" i="3"/>
  <c r="D30" i="3"/>
  <c r="E30" i="3"/>
  <c r="C30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8" i="3" s="1"/>
  <c r="E21" i="3"/>
  <c r="E28" i="3" s="1"/>
  <c r="C21" i="3"/>
  <c r="C20" i="3" s="1"/>
  <c r="G19" i="3"/>
  <c r="D19" i="3"/>
  <c r="D18" i="3" s="1"/>
  <c r="E19" i="3"/>
  <c r="E18" i="3" s="1"/>
  <c r="C19" i="3"/>
  <c r="D17" i="3"/>
  <c r="E17" i="3"/>
  <c r="C17" i="3"/>
  <c r="D14" i="3"/>
  <c r="D13" i="3" s="1"/>
  <c r="E14" i="3"/>
  <c r="E13" i="3" s="1"/>
  <c r="C14" i="3"/>
  <c r="C13" i="3" s="1"/>
  <c r="C10" i="3"/>
  <c r="C11" i="3"/>
  <c r="D11" i="3"/>
  <c r="E11" i="3"/>
  <c r="D10" i="3"/>
  <c r="E10" i="3"/>
  <c r="D9" i="3"/>
  <c r="E9" i="3"/>
  <c r="C9" i="3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C51" i="3" l="1"/>
  <c r="D12" i="3"/>
  <c r="E51" i="3"/>
  <c r="D51" i="3"/>
  <c r="C49" i="3"/>
  <c r="H19" i="3"/>
  <c r="D49" i="3"/>
  <c r="E49" i="3"/>
  <c r="E12" i="3"/>
  <c r="D20" i="3"/>
  <c r="C18" i="3"/>
  <c r="E20" i="3"/>
  <c r="C28" i="3"/>
  <c r="C12" i="3"/>
  <c r="D68" i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4" i="3" s="1"/>
  <c r="A45" i="3" s="1"/>
  <c r="A46" i="3" s="1"/>
  <c r="A47" i="3" s="1"/>
  <c r="A48" i="3" s="1"/>
  <c r="A49" i="3" s="1"/>
  <c r="A50" i="3" s="1"/>
  <c r="A51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<sst xmlns="http://schemas.openxmlformats.org/spreadsheetml/2006/main" count="213" uniqueCount="173">
  <si>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</si>
  <si>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</si>
  <si>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</si>
  <si>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</si>
  <si>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</si>
  <si>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</si>
  <si>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</si>
  <si>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</si>
  <si>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</si>
  <si>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</si>
  <si>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</si>
  <si>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</si>
  <si>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</si>
  <si>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</si>
  <si>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</si>
  <si>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</si>
  <si>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</si>
  <si>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</si>
  <si>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</si>
  <si>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</si>
  <si>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</si>
  <si>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</si>
  <si>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</si>
  <si>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</si>
  <si>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</si>
  <si>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</si>
  <si>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</si>
  <si>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</si>
  <si>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</si>
  <si>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</si>
  <si>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</si>
  <si>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</si>
  <si>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</si>
  <si>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</si>
  <si>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</si>
  <si>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</si>
  <si>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</si>
  <si>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</si>
  <si>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</si>
  <si>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</si>
  <si>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</si>
  <si>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</si>
  <si>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</si>
  <si>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</si>
  <si>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</si>
  <si>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</si>
  <si>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</si>
  <si>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</si>
  <si>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</si>
  <si>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</si>
  <si>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</si>
  <si>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</si>
  <si>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</si>
  <si>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</si>
  <si>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</si>
  <si>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</si>
  <si>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</si>
  <si>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</si>
  <si>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</si>
  <si>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</si>
  <si>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</si>
  <si>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</si>
  <si>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</si>
  <si>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</si>
  <si>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</si>
  <si>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</si>
  <si>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</si>
  <si>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</si>
  <si>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</si>
  <si>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</si>
  <si>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</si>
  <si>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</si>
  <si>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</si>
  <si>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</si>
  <si>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</si>
  <si>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</si>
  <si>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</si>
  <si>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</si>
  <si>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</si>
  <si>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</si>
  <si>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</si>
  <si>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</si>
  <si>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</si>
  <si>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</si>
  <si>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</si>
  <si>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</si>
  <si>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</si>
  <si>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</si>
  <si>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</si>
  <si>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</si>
  <si>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</si>
  <si>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</si>
  <si>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</si>
  <si>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</si>
  <si>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</si>
  <si>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</si>
  <si>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</si>
  <si>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</si>
  <si>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</si>
  <si>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</si>
  <si>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</si>
  <si>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</si>
  <si>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</si>
  <si>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</si>
  <si>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</si>
  <si>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</si>
  <si>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</si>
  <si>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</si>
  <si>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</si>
  <si>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</si>
  <si>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</si>
  <si>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</si>
  <si>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</si>
  <si>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</si>
  <si>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</si>
  <si>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</si>
  <si>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</si>
  <si>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</si>
  <si>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</si>
  <si>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</si>
  <si>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</si>
  <si>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</si>
  <si>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</si>
  <si>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</si>
  <si>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</si>
  <si>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</si>
  <si>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</si>
  <si>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</si>
  <si>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</si>
  <si>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</si>
  <si>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</si>
  <si>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</si>
  <si>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</si>
  <si>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</si>
  <si>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</si>
  <si>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</si>
  <si>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</si>
  <si>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</si>
  <si>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</si>
  <si>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</si>
  <si>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</si>
  <si>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</si>
  <si>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</si>
  <si>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</si>
  <si>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</si>
  <si>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</si>
  <si>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</si>
  <si>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</si>
  <si>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</si>
  <si>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</si>
  <si>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this does not include any 2023 data… apple have released their september Q3 2023 report as of this time  </t>
  </si>
  <si>
    <t>check for 2022, EBITDA = operating income + D&amp;A</t>
  </si>
  <si>
    <t xml:space="preserve">used number of basic shares </t>
  </si>
  <si>
    <t xml:space="preserve">using total assets </t>
  </si>
  <si>
    <t xml:space="preserve">using property, plant and equipment, net only </t>
  </si>
  <si>
    <t>closing prices:</t>
  </si>
  <si>
    <t>2022: 137.2</t>
  </si>
  <si>
    <t>2021: 138.7</t>
  </si>
  <si>
    <t>2020: 113.6</t>
  </si>
  <si>
    <t xml:space="preserve">book value  </t>
  </si>
  <si>
    <t xml:space="preserve">growth rates </t>
  </si>
  <si>
    <t>Sales (net sales)</t>
  </si>
  <si>
    <t>sales (products)</t>
  </si>
  <si>
    <t>sales (services)</t>
  </si>
  <si>
    <t>Each operating expenses (R &amp; D)</t>
  </si>
  <si>
    <t>operating expense (selling, general and administative)</t>
  </si>
  <si>
    <t xml:space="preserve">total operating expenses </t>
  </si>
  <si>
    <t xml:space="preserve">each of the following as a % of net sales </t>
  </si>
  <si>
    <t xml:space="preserve">operating income </t>
  </si>
  <si>
    <t xml:space="preserve">net profit </t>
  </si>
  <si>
    <t>Capex is payments for acquisition of property, plant and equipment </t>
  </si>
  <si>
    <t xml:space="preserve">income tax </t>
  </si>
  <si>
    <t xml:space="preserve"> or, using the cash flow cash paid for income tax, 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</si>
</sst>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5252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  <xf numFmtId="3" fontId="8" fillId="0" borderId="0" xfId="0" applyNumberFormat="1" applyFont="1"/>
    <xf numFmtId="46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9" fillId="0" borderId="0" xfId="0" applyFont="1" applyAlignment="1">
      <alignment horizontal="left" indent="1"/>
    </xf>
    <xf numFmtId="0" fontId="2" fillId="0" borderId="0" xfId="0" applyFont="1" applyFill="1" applyBorder="1"/>
    <xf numFmtId="0" fontId="10" fillId="0" borderId="0" xfId="0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104.5" customWidth="1"/>
  </cols>
  <sheetData>
    <row r="1" spans="1:2" ht="24" x14ac:dyDescent="0.3">
      <c r="A1" s="5" t="s">
        <v>87</v>
      </c>
    </row>
    <row r="3" spans="1:2" x14ac:dyDescent="0.2">
      <c r="A3" s="7" t="s">
        <v>141</v>
      </c>
      <c r="B3" t="s">
        <v>150</v>
      </c>
    </row>
    <row r="4" spans="1:2" x14ac:dyDescent="0.2">
      <c r="A4" s="16" t="s">
        <v>88</v>
      </c>
    </row>
    <row r="5" spans="1:2" x14ac:dyDescent="0.2">
      <c r="A5" s="7" t="s">
        <v>97</v>
      </c>
    </row>
    <row r="6" spans="1:2" x14ac:dyDescent="0.2">
      <c r="A6" s="1" t="s">
        <v>148</v>
      </c>
    </row>
    <row r="7" spans="1:2" x14ac:dyDescent="0.2">
      <c r="A7" s="1"/>
    </row>
    <row r="8" spans="1:2" x14ac:dyDescent="0.2">
      <c r="A8" s="17" t="s">
        <v>149</v>
      </c>
    </row>
    <row r="9" spans="1:2" x14ac:dyDescent="0.2">
      <c r="A9" s="1" t="s">
        <v>145</v>
      </c>
    </row>
    <row r="10" spans="1:2" x14ac:dyDescent="0.2">
      <c r="A10" s="1" t="s">
        <v>89</v>
      </c>
    </row>
    <row r="11" spans="1:2" x14ac:dyDescent="0.2">
      <c r="A11" s="1" t="s">
        <v>90</v>
      </c>
    </row>
    <row r="12" spans="1:2" x14ac:dyDescent="0.2">
      <c r="A12" s="1" t="s">
        <v>91</v>
      </c>
    </row>
    <row r="13" spans="1:2" x14ac:dyDescent="0.2">
      <c r="A13" s="1"/>
    </row>
    <row r="14" spans="1:2" x14ac:dyDescent="0.2">
      <c r="A14" s="17" t="s">
        <v>92</v>
      </c>
    </row>
    <row r="15" spans="1:2" x14ac:dyDescent="0.2">
      <c r="A15" s="1" t="s">
        <v>146</v>
      </c>
    </row>
    <row r="16" spans="1:2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zoomScale="115" zoomScaleNormal="115" workbookViewId="0">
      <selection activeCell="E6" sqref="E6"/>
    </sheetView>
  </sheetViews>
  <sheetFormatPr baseColWidth="10" defaultColWidth="8.83203125" defaultRowHeight="15" x14ac:dyDescent="0.2"/>
  <cols>
    <col min="1" max="1" width="74.5" customWidth="1"/>
    <col min="2" max="3" width="11.5" bestFit="1" customWidth="1"/>
    <col min="4" max="4" width="11.6640625" bestFit="1" customWidth="1"/>
    <col min="5" max="7" width="10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>
        <v>260274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E12">
        <v>161782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E13">
        <v>98392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12">
        <v>16217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12">
        <v>18245</v>
      </c>
    </row>
    <row r="17" spans="1:7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E17">
        <v>34462</v>
      </c>
    </row>
    <row r="18" spans="1:7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7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7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7" ht="16" thickTop="1" x14ac:dyDescent="0.2">
      <c r="A23" t="s">
        <v>19</v>
      </c>
    </row>
    <row r="24" spans="1:7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">
      <c r="A26" t="s">
        <v>22</v>
      </c>
    </row>
    <row r="27" spans="1:7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">
      <c r="A28" s="1" t="s">
        <v>21</v>
      </c>
      <c r="B28" s="2">
        <v>16326</v>
      </c>
      <c r="C28" s="2">
        <v>16865</v>
      </c>
      <c r="D28" s="2">
        <v>17528</v>
      </c>
      <c r="E28" s="2">
        <v>16325819</v>
      </c>
      <c r="F28" s="2">
        <v>16864919</v>
      </c>
      <c r="G28" s="2">
        <v>17528214</v>
      </c>
    </row>
    <row r="31" spans="1:7" x14ac:dyDescent="0.2">
      <c r="A31" s="25" t="s">
        <v>24</v>
      </c>
      <c r="B31" s="25"/>
      <c r="C31" s="25"/>
      <c r="D31" s="25"/>
    </row>
    <row r="32" spans="1:7" x14ac:dyDescent="0.2">
      <c r="B32" s="24" t="s">
        <v>142</v>
      </c>
      <c r="C32" s="24"/>
      <c r="D32" s="24"/>
    </row>
    <row r="33" spans="1:5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">
      <c r="A35" t="s">
        <v>25</v>
      </c>
    </row>
    <row r="36" spans="1:5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E42">
        <v>162819</v>
      </c>
    </row>
    <row r="43" spans="1:5" x14ac:dyDescent="0.2">
      <c r="A43" t="s">
        <v>48</v>
      </c>
      <c r="B43" s="12"/>
      <c r="C43" s="12"/>
      <c r="D43" s="12"/>
    </row>
    <row r="44" spans="1:5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E47">
        <v>175697</v>
      </c>
    </row>
    <row r="48" spans="1:5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E48">
        <v>338516</v>
      </c>
    </row>
    <row r="49" spans="1:5" ht="16" thickTop="1" x14ac:dyDescent="0.2"/>
    <row r="50" spans="1:5" x14ac:dyDescent="0.2">
      <c r="A50" t="s">
        <v>34</v>
      </c>
    </row>
    <row r="51" spans="1:5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E56">
        <v>105718</v>
      </c>
    </row>
    <row r="57" spans="1:5" x14ac:dyDescent="0.2">
      <c r="A57" t="s">
        <v>51</v>
      </c>
      <c r="B57" s="12"/>
      <c r="C57" s="12"/>
      <c r="D57" s="12"/>
    </row>
    <row r="58" spans="1:5" x14ac:dyDescent="0.2">
      <c r="A58" s="1" t="s">
        <v>37</v>
      </c>
      <c r="B58" s="12"/>
      <c r="C58" s="12"/>
      <c r="D58" s="12"/>
    </row>
    <row r="59" spans="1:5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  <c r="E61">
        <v>142310</v>
      </c>
    </row>
    <row r="62" spans="1:5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E62">
        <v>248028</v>
      </c>
    </row>
    <row r="63" spans="1:5" x14ac:dyDescent="0.2">
      <c r="B63" s="12"/>
      <c r="C63" s="12"/>
      <c r="D63" s="12"/>
    </row>
    <row r="64" spans="1:5" x14ac:dyDescent="0.2">
      <c r="A64" t="s">
        <v>42</v>
      </c>
      <c r="B64" s="12"/>
      <c r="C64" s="12"/>
      <c r="D64" s="12"/>
    </row>
    <row r="65" spans="1:5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E68">
        <v>90488</v>
      </c>
    </row>
    <row r="69" spans="1:5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E69">
        <v>338516</v>
      </c>
    </row>
    <row r="70" spans="1:5" ht="16" thickTop="1" x14ac:dyDescent="0.2"/>
    <row r="71" spans="1:5" x14ac:dyDescent="0.2">
      <c r="A71" s="25" t="s">
        <v>55</v>
      </c>
      <c r="B71" s="25"/>
      <c r="C71" s="25"/>
      <c r="D71" s="25"/>
    </row>
    <row r="72" spans="1:5" x14ac:dyDescent="0.2">
      <c r="B72" s="24" t="s">
        <v>23</v>
      </c>
      <c r="C72" s="24"/>
      <c r="D72" s="24"/>
    </row>
    <row r="73" spans="1:5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5" x14ac:dyDescent="0.2">
      <c r="A75" s="7" t="s">
        <v>56</v>
      </c>
      <c r="B75" s="15"/>
      <c r="C75" s="15"/>
      <c r="D75" s="15"/>
    </row>
    <row r="76" spans="1:5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5" x14ac:dyDescent="0.2">
      <c r="A77" s="11" t="s">
        <v>18</v>
      </c>
      <c r="B77" s="15"/>
      <c r="C77" s="15"/>
      <c r="D77" s="15"/>
    </row>
    <row r="78" spans="1:5" x14ac:dyDescent="0.2">
      <c r="A78" s="1" t="s">
        <v>58</v>
      </c>
      <c r="B78" s="12"/>
      <c r="C78" s="12"/>
      <c r="D78" s="12"/>
    </row>
    <row r="79" spans="1:5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2">
      <c r="B115" s="26"/>
    </row>
    <row r="116" spans="1:4" x14ac:dyDescent="0.2">
      <c r="B116" s="26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5"/>
  <sheetViews>
    <sheetView tabSelected="1" topLeftCell="A54" workbookViewId="0">
      <selection activeCell="D60" sqref="D60"/>
    </sheetView>
  </sheetViews>
  <sheetFormatPr baseColWidth="10" defaultColWidth="8.83203125" defaultRowHeight="15" x14ac:dyDescent="0.2"/>
  <cols>
    <col min="1" max="1" width="4.6640625" customWidth="1"/>
    <col min="2" max="2" width="48" bestFit="1" customWidth="1"/>
    <col min="3" max="3" width="9.83203125" bestFit="1" customWidth="1"/>
    <col min="6" max="6" width="8.33203125" customWidth="1"/>
    <col min="7" max="7" width="11.5" customWidth="1"/>
    <col min="8" max="8" width="10" customWidth="1"/>
    <col min="9" max="9" width="10.5" bestFit="1" customWidth="1"/>
  </cols>
  <sheetData>
    <row r="1" spans="1:13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3" x14ac:dyDescent="0.2">
      <c r="C2" s="24" t="s">
        <v>23</v>
      </c>
      <c r="D2" s="24"/>
      <c r="E2" s="24"/>
    </row>
    <row r="3" spans="1:13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3" x14ac:dyDescent="0.2">
      <c r="A4" s="18">
        <v>1</v>
      </c>
      <c r="B4" s="7" t="s">
        <v>99</v>
      </c>
    </row>
    <row r="5" spans="1:13" x14ac:dyDescent="0.2">
      <c r="A5" s="18">
        <f>+A4+0.1</f>
        <v>1.1000000000000001</v>
      </c>
      <c r="B5" s="1" t="s">
        <v>100</v>
      </c>
      <c r="C5">
        <f>SUM('Financial Statements'!B42/'Financial Statements'!B56)</f>
        <v>0.87935602862672257</v>
      </c>
      <c r="D5">
        <f>SUM('Financial Statements'!C42/'Financial Statements'!C56)</f>
        <v>1.0745531195957954</v>
      </c>
      <c r="E5">
        <f>SUM('Financial Statements'!D42/'Financial Statements'!D56)</f>
        <v>1.3636044481554577</v>
      </c>
    </row>
    <row r="6" spans="1:13" x14ac:dyDescent="0.2">
      <c r="A6" s="18">
        <f t="shared" ref="A6:A13" si="0">+A5+0.1</f>
        <v>1.2000000000000002</v>
      </c>
      <c r="B6" s="1" t="s">
        <v>101</v>
      </c>
      <c r="C6">
        <f>SUM(('Financial Statements'!B42-'Financial Statements'!B39)/'Financial Statements'!B56)</f>
        <v>0.84723539114961488</v>
      </c>
      <c r="D6">
        <f>SUM(('Financial Statements'!C42-'Financial Statements'!C39)/'Financial Statements'!C56)</f>
        <v>1.0221149018576519</v>
      </c>
      <c r="E6">
        <f>SUM(('Financial Statements'!D42-'Financial Statements'!D39)/'Financial Statements'!D56)</f>
        <v>1.325072111735236</v>
      </c>
    </row>
    <row r="7" spans="1:13" x14ac:dyDescent="0.2">
      <c r="A7" s="18">
        <f t="shared" si="0"/>
        <v>1.3000000000000003</v>
      </c>
      <c r="B7" s="1" t="s">
        <v>102</v>
      </c>
      <c r="C7">
        <f>SUM('Financial Statements'!B36/'Financial Statements'!B56)</f>
        <v>0.15356340351469652</v>
      </c>
      <c r="D7">
        <f>SUM('Financial Statements'!C36/'Financial Statements'!C56)</f>
        <v>0.27844853005634318</v>
      </c>
      <c r="E7">
        <f>SUM('Financial Statements'!D36/'Financial Statements'!D56)</f>
        <v>0.36071049035979963</v>
      </c>
      <c r="M7" s="1"/>
    </row>
    <row r="8" spans="1:13" x14ac:dyDescent="0.2">
      <c r="A8" s="18">
        <f t="shared" si="0"/>
        <v>1.4000000000000004</v>
      </c>
      <c r="B8" s="1" t="s">
        <v>103</v>
      </c>
      <c r="C8">
        <f>SUM(('Financial Statements'!B36+'Financial Statements'!B37+'Financial Statements'!B38)/('Financial Statements'!B17/365))</f>
        <v>543.73590417762193</v>
      </c>
      <c r="D8">
        <f>SUM(('Financial Statements'!C36+'Financial Statements'!C37+'Financial Statements'!C38)/('Financial Statements'!C17/365))</f>
        <v>739.50611798482464</v>
      </c>
      <c r="E8">
        <f>SUM(('Financial Statements'!D36+'Financial Statements'!D37+'Financial Statements'!D38)/('Financial Statements'!D17/365))</f>
        <v>1010.6029533464364</v>
      </c>
      <c r="M8" s="1"/>
    </row>
    <row r="9" spans="1:13" x14ac:dyDescent="0.2">
      <c r="A9" s="18">
        <f t="shared" si="0"/>
        <v>1.5000000000000004</v>
      </c>
      <c r="B9" s="1" t="s">
        <v>104</v>
      </c>
      <c r="C9">
        <f>SUM(('Financial Statements'!B39/'Financial Statements'!B12)*365)</f>
        <v>8.0756980666171607</v>
      </c>
      <c r="D9">
        <f>SUM(('Financial Statements'!C39/'Financial Statements'!C12)*365)</f>
        <v>11.27659274770989</v>
      </c>
      <c r="E9">
        <f>SUM(('Financial Statements'!D39/'Financial Statements'!D12)*365)</f>
        <v>8.7418833562358831</v>
      </c>
      <c r="M9" s="1"/>
    </row>
    <row r="10" spans="1:13" x14ac:dyDescent="0.2">
      <c r="A10" s="18">
        <f t="shared" si="0"/>
        <v>1.6000000000000005</v>
      </c>
      <c r="B10" s="1" t="s">
        <v>105</v>
      </c>
      <c r="C10">
        <f>SUM('Financial Statements'!B51*356/'Financial Statements'!B12)</f>
        <v>102.10399649289184</v>
      </c>
      <c r="D10">
        <f>SUM('Financial Statements'!C51*356/'Financial Statements'!C12)</f>
        <v>91.536935219573579</v>
      </c>
      <c r="E10">
        <f>SUM('Financial Statements'!D51*356/'Financial Statements'!D12)</f>
        <v>88.803165859671267</v>
      </c>
      <c r="M10" s="1"/>
    </row>
    <row r="11" spans="1:13" x14ac:dyDescent="0.2">
      <c r="A11" s="18">
        <f t="shared" si="0"/>
        <v>1.7000000000000006</v>
      </c>
      <c r="B11" s="1" t="s">
        <v>106</v>
      </c>
      <c r="C11">
        <f>('Financial Statements'!B8/'Financial Statements'!B38)</f>
        <v>13.991200681237581</v>
      </c>
      <c r="D11">
        <f>('Financial Statements'!C8/'Financial Statements'!C38)</f>
        <v>13.921036608569906</v>
      </c>
      <c r="E11">
        <f>('Financial Statements'!D8/'Financial Statements'!D38)</f>
        <v>17.029466501240694</v>
      </c>
      <c r="M11" s="1"/>
    </row>
    <row r="12" spans="1:13" x14ac:dyDescent="0.2">
      <c r="A12" s="18">
        <f t="shared" si="0"/>
        <v>1.8000000000000007</v>
      </c>
      <c r="B12" s="1" t="s">
        <v>107</v>
      </c>
      <c r="C12">
        <f>(C9+('Financial Statements'!B38/('Financial Statements'!B8/365))-'List of Ratios'!C10)</f>
        <v>-67.940473062618025</v>
      </c>
      <c r="D12">
        <f>(D9+('Financial Statements'!C38/('Financial Statements'!C8/365))-'List of Ratios'!D10)</f>
        <v>-54.041030630150487</v>
      </c>
      <c r="E12">
        <f>(E9+('Financial Statements'!D38/('Financial Statements'!D8/365))-'List of Ratios'!E10)</f>
        <v>-58.62784535063863</v>
      </c>
      <c r="M12" s="1"/>
    </row>
    <row r="13" spans="1:13" x14ac:dyDescent="0.2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  <c r="M13" s="1"/>
    </row>
    <row r="14" spans="1:13" x14ac:dyDescent="0.2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  <c r="M14" s="1"/>
    </row>
    <row r="15" spans="1:13" x14ac:dyDescent="0.2">
      <c r="A15" s="18"/>
      <c r="M15" s="1"/>
    </row>
    <row r="16" spans="1:13" x14ac:dyDescent="0.2">
      <c r="A16" s="18">
        <f>+A4+1</f>
        <v>2</v>
      </c>
      <c r="B16" s="17" t="s">
        <v>110</v>
      </c>
      <c r="M16" s="3"/>
    </row>
    <row r="17" spans="1:8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8" x14ac:dyDescent="0.2">
      <c r="A18" s="18">
        <f>+A17+0.1</f>
        <v>2.2000000000000002</v>
      </c>
      <c r="B18" s="1" t="s">
        <v>111</v>
      </c>
      <c r="C18">
        <f>(C19/'Financial Statements'!B8)</f>
        <v>0.33815757440506383</v>
      </c>
      <c r="D18">
        <f>(D19/'Financial Statements'!C8)</f>
        <v>0.36640178012503521</v>
      </c>
      <c r="E18">
        <f>(E19/'Financial Statements'!D8)</f>
        <v>0.29495655975083329</v>
      </c>
      <c r="G18" t="s">
        <v>151</v>
      </c>
    </row>
    <row r="19" spans="1:8" x14ac:dyDescent="0.2">
      <c r="A19" s="18"/>
      <c r="B19" s="3" t="s">
        <v>112</v>
      </c>
      <c r="C19">
        <f>('Financial Statements'!B22+'Financial Statements'!B114+'Financial Statements'!B113+'Financial Statements'!B79)</f>
        <v>133345</v>
      </c>
      <c r="D19">
        <f>('Financial Statements'!C22+'Financial Statements'!C114+'Financial Statements'!C113+'Financial Statements'!C79)</f>
        <v>134036</v>
      </c>
      <c r="E19">
        <f>('Financial Statements'!D22+'Financial Statements'!D114+'Financial Statements'!D113+'Financial Statements'!D79)</f>
        <v>80970</v>
      </c>
      <c r="G19">
        <f>('Financial Statements'!B18+'Financial Statements'!B79)</f>
        <v>130541</v>
      </c>
      <c r="H19">
        <f>(C19-G19)</f>
        <v>2804</v>
      </c>
    </row>
    <row r="20" spans="1:8" x14ac:dyDescent="0.2">
      <c r="A20" s="18">
        <f>+A18+0.1</f>
        <v>2.3000000000000003</v>
      </c>
      <c r="B20" s="1" t="s">
        <v>113</v>
      </c>
      <c r="C20">
        <f>(C21/'Financial Statements'!B8)</f>
        <v>0.30999827554726017</v>
      </c>
      <c r="D20">
        <f>(D21/'Financial Statements'!C8)</f>
        <v>0.33555575602008653</v>
      </c>
      <c r="E20">
        <f>(E21/'Financial Statements'!D8)</f>
        <v>0.25468189352130122</v>
      </c>
    </row>
    <row r="21" spans="1:8" x14ac:dyDescent="0.2">
      <c r="A21" s="18"/>
      <c r="B21" s="3" t="s">
        <v>114</v>
      </c>
      <c r="C21">
        <f>('Financial Statements'!B22+'Financial Statements'!B114+'Financial Statements'!B113)</f>
        <v>122241</v>
      </c>
      <c r="D21">
        <f>('Financial Statements'!C22+'Financial Statements'!C114+'Financial Statements'!C113)</f>
        <v>122752</v>
      </c>
      <c r="E21">
        <f>('Financial Statements'!D22+'Financial Statements'!D114+'Financial Statements'!D113)</f>
        <v>69914</v>
      </c>
    </row>
    <row r="22" spans="1:8" x14ac:dyDescent="0.2">
      <c r="A22" s="18">
        <f>+A20+0.1</f>
        <v>2.4000000000000004</v>
      </c>
      <c r="B22" s="1" t="s">
        <v>115</v>
      </c>
      <c r="C22">
        <f>'Financial Statements'!B22</f>
        <v>99803</v>
      </c>
      <c r="D22">
        <f>'Financial Statements'!C22</f>
        <v>94680</v>
      </c>
      <c r="E22">
        <f>'Financial Statements'!D22</f>
        <v>57411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116</v>
      </c>
    </row>
    <row r="25" spans="1:8" x14ac:dyDescent="0.2">
      <c r="A25" s="18">
        <f>+A24+0.1</f>
        <v>3.1</v>
      </c>
      <c r="B25" s="1" t="s">
        <v>117</v>
      </c>
      <c r="C25">
        <f>('Financial Statements'!B62/'Financial Statements'!B68)</f>
        <v>5.9615369434796337</v>
      </c>
      <c r="D25">
        <f>('Financial Statements'!C62/'Financial Statements'!C68)</f>
        <v>4.5635124425423994</v>
      </c>
      <c r="E25">
        <f>('Financial Statements'!D62/'Financial Statements'!D68)</f>
        <v>3.9570394404566951</v>
      </c>
    </row>
    <row r="26" spans="1:8" x14ac:dyDescent="0.2">
      <c r="A26" s="18">
        <f t="shared" ref="A26:A30" si="1">+A25+0.1</f>
        <v>3.2</v>
      </c>
      <c r="B26" s="1" t="s">
        <v>118</v>
      </c>
      <c r="C26">
        <f>(('Financial Statements'!B59+'Financial Statements'!B55)/'Financial Statements'!B48)</f>
        <v>0.31207778769967826</v>
      </c>
      <c r="D26">
        <f>(('Financial Statements'!C59+'Financial Statements'!C55)/'Financial Statements'!C48)</f>
        <v>0.33822884200090025</v>
      </c>
      <c r="E26">
        <f>(('Financial Statements'!D59+'Financial Statements'!D55)/'Financial Statements'!D48)</f>
        <v>0.33171960677765155</v>
      </c>
    </row>
    <row r="27" spans="1:8" x14ac:dyDescent="0.2">
      <c r="A27" s="18">
        <f t="shared" si="1"/>
        <v>3.3000000000000003</v>
      </c>
      <c r="B27" s="1" t="s">
        <v>119</v>
      </c>
      <c r="C27">
        <f>('Financial Statements'!B59/'Financial Statements'!B48)</f>
        <v>0.28053181386514719</v>
      </c>
      <c r="D27">
        <f>('Financial Statements'!C59/'Financial Statements'!C48)</f>
        <v>0.31084153366647482</v>
      </c>
      <c r="E27">
        <f>('Financial Statements'!D59/'Financial Statements'!D48)</f>
        <v>0.30463308304105124</v>
      </c>
    </row>
    <row r="28" spans="1:8" x14ac:dyDescent="0.2">
      <c r="A28" s="18">
        <f t="shared" si="1"/>
        <v>3.4000000000000004</v>
      </c>
      <c r="B28" s="1" t="s">
        <v>120</v>
      </c>
      <c r="C28">
        <f>(C21/'Financial Statements'!B114)</f>
        <v>42.667015706806282</v>
      </c>
      <c r="D28">
        <f>(D21/'Financial Statements'!C114)</f>
        <v>45.683662076665428</v>
      </c>
      <c r="E28">
        <f>(E21/'Financial Statements'!D114)</f>
        <v>23.289140572951364</v>
      </c>
    </row>
    <row r="29" spans="1:8" x14ac:dyDescent="0.2">
      <c r="A29" s="18">
        <f t="shared" si="1"/>
        <v>3.5000000000000004</v>
      </c>
      <c r="B29" s="1" t="s">
        <v>121</v>
      </c>
      <c r="C29">
        <f>('Financial Statements'!B18/('Financial Statements'!B113+'Financial Statements'!B114+'Financial Statements'!B55))</f>
        <v>3.5582732526961807</v>
      </c>
      <c r="D29">
        <f>('Financial Statements'!C18/('Financial Statements'!C113+'Financial Statements'!C114+'Financial Statements'!C55))</f>
        <v>2.8910441820352926</v>
      </c>
      <c r="E29">
        <f>('Financial Statements'!D18/('Financial Statements'!D113+'Financial Statements'!D114+'Financial Statements'!D55))</f>
        <v>3.1156232374506487</v>
      </c>
    </row>
    <row r="30" spans="1:8" x14ac:dyDescent="0.2">
      <c r="A30" s="18">
        <f t="shared" si="1"/>
        <v>3.6000000000000005</v>
      </c>
      <c r="B30" s="1" t="s">
        <v>122</v>
      </c>
      <c r="C30">
        <f>(C31/'Financial Statements'!B27)</f>
        <v>6.8648405278181751E-3</v>
      </c>
      <c r="D30">
        <f>(D31/'Financial Statements'!C27)</f>
        <v>6.3239494572628957E-3</v>
      </c>
      <c r="E30">
        <f>(E31/'Financial Statements'!D27)</f>
        <v>4.3720308741543321E-3</v>
      </c>
      <c r="G30" t="s">
        <v>152</v>
      </c>
    </row>
    <row r="31" spans="1:8" x14ac:dyDescent="0.2">
      <c r="A31" s="18"/>
      <c r="B31" s="3" t="s">
        <v>123</v>
      </c>
      <c r="C31" s="27">
        <v>111320</v>
      </c>
      <c r="D31">
        <v>105618</v>
      </c>
      <c r="E31">
        <v>75864</v>
      </c>
    </row>
    <row r="32" spans="1:8" x14ac:dyDescent="0.2">
      <c r="A32" s="18"/>
    </row>
    <row r="33" spans="1:9" x14ac:dyDescent="0.2">
      <c r="A33" s="18">
        <f>+A24+1</f>
        <v>4</v>
      </c>
      <c r="B33" s="17" t="s">
        <v>124</v>
      </c>
    </row>
    <row r="34" spans="1:9" x14ac:dyDescent="0.2">
      <c r="A34" s="18">
        <f>+A33+0.1</f>
        <v>4.0999999999999996</v>
      </c>
      <c r="B34" s="1" t="s">
        <v>125</v>
      </c>
      <c r="C34">
        <f>('Financial Statements'!B8/'Financial Statements'!B48)</f>
        <v>1.1178523337727317</v>
      </c>
      <c r="D34">
        <f>('Financial Statements'!C8/'Financial Statements'!C48)</f>
        <v>1.0422077367080529</v>
      </c>
      <c r="E34">
        <f>('Financial Statements'!D8/'Financial Statements'!D48)</f>
        <v>0.84756150274168851</v>
      </c>
      <c r="G34" t="s">
        <v>153</v>
      </c>
    </row>
    <row r="35" spans="1:9" x14ac:dyDescent="0.2">
      <c r="A35" s="18">
        <f t="shared" ref="A35:A37" si="2">+A34+0.1</f>
        <v>4.1999999999999993</v>
      </c>
      <c r="B35" s="1" t="s">
        <v>126</v>
      </c>
      <c r="C35">
        <f>('Financial Statements'!B8/'Financial Statements'!B45)</f>
        <v>9.3626801529073767</v>
      </c>
      <c r="D35">
        <f>('Financial Statements'!C8/'Financial Statements'!C45)</f>
        <v>9.2752789046653152</v>
      </c>
      <c r="E35">
        <f>('Financial Statements'!D8/'Financial Statements'!D45)</f>
        <v>7.4665451776097482</v>
      </c>
      <c r="G35" t="s">
        <v>154</v>
      </c>
    </row>
    <row r="36" spans="1:9" x14ac:dyDescent="0.2">
      <c r="A36" s="18">
        <f t="shared" si="2"/>
        <v>4.2999999999999989</v>
      </c>
      <c r="B36" s="1" t="s">
        <v>127</v>
      </c>
      <c r="C36">
        <f>('Financial Statements'!B8/'Financial Statements'!B39)</f>
        <v>79.726647796198947</v>
      </c>
      <c r="D36">
        <f>('Financial Statements'!C8/'Financial Statements'!C39)</f>
        <v>55.595288753799394</v>
      </c>
      <c r="E36">
        <f>('Financial Statements'!D8/'Financial Statements'!D39)</f>
        <v>67.597882295001227</v>
      </c>
    </row>
    <row r="37" spans="1:9" x14ac:dyDescent="0.2">
      <c r="A37" s="18">
        <f t="shared" si="2"/>
        <v>4.3999999999999986</v>
      </c>
      <c r="B37" s="1" t="s">
        <v>128</v>
      </c>
      <c r="C37">
        <f>('Financial Statements'!B22/'Financial Statements'!B48)</f>
        <v>0.28292440929256851</v>
      </c>
      <c r="D37">
        <f>('Financial Statements'!C22/'Financial Statements'!C48)</f>
        <v>0.26974205275183616</v>
      </c>
      <c r="E37">
        <f>('Financial Statements'!D22/'Financial Statements'!D48)</f>
        <v>0.1772557180259843</v>
      </c>
    </row>
    <row r="38" spans="1:9" x14ac:dyDescent="0.2">
      <c r="A38" s="18"/>
    </row>
    <row r="39" spans="1:9" x14ac:dyDescent="0.2">
      <c r="A39" s="18">
        <f>+A33+1</f>
        <v>5</v>
      </c>
      <c r="B39" s="17" t="s">
        <v>129</v>
      </c>
      <c r="G39" t="s">
        <v>155</v>
      </c>
    </row>
    <row r="40" spans="1:9" x14ac:dyDescent="0.2">
      <c r="A40" s="18">
        <f>+A39+0.1</f>
        <v>5.0999999999999996</v>
      </c>
      <c r="B40" s="1" t="s">
        <v>130</v>
      </c>
      <c r="C40">
        <f>(137.2/6.11)</f>
        <v>22.454991816693941</v>
      </c>
      <c r="D40">
        <f>(138.7/'Financial Statements'!C25)</f>
        <v>24.723707664884131</v>
      </c>
      <c r="E40">
        <f>(113.6/'Financial Statements'!D25)</f>
        <v>34.634146341463413</v>
      </c>
      <c r="G40" s="28" t="s">
        <v>156</v>
      </c>
      <c r="H40" t="s">
        <v>157</v>
      </c>
      <c r="I40" t="s">
        <v>158</v>
      </c>
    </row>
    <row r="41" spans="1:9" x14ac:dyDescent="0.2">
      <c r="A41" s="18">
        <f t="shared" ref="A41:A51" si="3">+A40+0.1</f>
        <v>5.1999999999999993</v>
      </c>
      <c r="B41" s="3" t="s">
        <v>131</v>
      </c>
      <c r="C41">
        <f>('Financial Statements'!B25)</f>
        <v>6.11</v>
      </c>
      <c r="D41">
        <f>('Financial Statements'!C25)</f>
        <v>5.61</v>
      </c>
      <c r="E41">
        <f>('Financial Statements'!D25)</f>
        <v>3.28</v>
      </c>
      <c r="G41">
        <v>137.19999999999999</v>
      </c>
      <c r="H41">
        <v>138.69999999999999</v>
      </c>
      <c r="I41">
        <v>113.6</v>
      </c>
    </row>
    <row r="42" spans="1:9" x14ac:dyDescent="0.2">
      <c r="A42" s="18">
        <f t="shared" si="3"/>
        <v>5.2999999999999989</v>
      </c>
      <c r="B42" s="1" t="s">
        <v>132</v>
      </c>
      <c r="C42">
        <f>(G41/C44)</f>
        <v>-596.35974440894563</v>
      </c>
      <c r="D42">
        <f t="shared" ref="D42:E42" si="4">(H41/D44)</f>
        <v>164.25640755564916</v>
      </c>
      <c r="E42">
        <f t="shared" si="4"/>
        <v>87.267423412367975</v>
      </c>
      <c r="F42">
        <v>43.8</v>
      </c>
      <c r="G42">
        <v>36.799999999999997</v>
      </c>
      <c r="H42">
        <v>30.3</v>
      </c>
    </row>
    <row r="43" spans="1:9" x14ac:dyDescent="0.2">
      <c r="A43" s="18"/>
      <c r="B43" s="1" t="s">
        <v>159</v>
      </c>
      <c r="C43">
        <f>('Financial Statements'!B48-'Financial Statements'!B46-'Financial Statements'!B62)</f>
        <v>-3756</v>
      </c>
      <c r="D43">
        <f>('Financial Statements'!C48-'Financial Statements'!C46-'Financial Statements'!C62)</f>
        <v>14241</v>
      </c>
      <c r="E43">
        <f>('Financial Statements'!D48-'Financial Statements'!D46-'Financial Statements'!D62)</f>
        <v>22817</v>
      </c>
    </row>
    <row r="44" spans="1:9" x14ac:dyDescent="0.2">
      <c r="A44" s="18">
        <f>+A42+0.1</f>
        <v>5.3999999999999986</v>
      </c>
      <c r="B44" s="3" t="s">
        <v>133</v>
      </c>
      <c r="C44">
        <f>(C43/'Financial Statements'!B28)</f>
        <v>-0.2300624770305035</v>
      </c>
      <c r="D44">
        <f>(D43/'Financial Statements'!C28)</f>
        <v>0.84441150311295587</v>
      </c>
      <c r="E44">
        <f>(E43/'Financial Statements'!D28)</f>
        <v>1.3017457781834778</v>
      </c>
    </row>
    <row r="45" spans="1:9" x14ac:dyDescent="0.2">
      <c r="A45" s="18">
        <f t="shared" si="3"/>
        <v>5.4999999999999982</v>
      </c>
      <c r="B45" s="1" t="s">
        <v>134</v>
      </c>
      <c r="C45" s="29">
        <f>(('Financial Statements'!B102*(-1)/'Financial Statements'!B22))</f>
        <v>0.14870294480125848</v>
      </c>
      <c r="D45" s="29">
        <f>(('Financial Statements'!C102*(-1)/'Financial Statements'!C22))</f>
        <v>0.15279890156316012</v>
      </c>
      <c r="E45" s="29">
        <f>(('Financial Statements'!D102*(-1)/'Financial Statements'!D22))</f>
        <v>0.24526658654264863</v>
      </c>
    </row>
    <row r="46" spans="1:9" x14ac:dyDescent="0.2">
      <c r="A46" s="18">
        <f t="shared" si="3"/>
        <v>5.5999999999999979</v>
      </c>
      <c r="B46" s="3" t="s">
        <v>135</v>
      </c>
      <c r="C46">
        <f>((-1)*'Financial Statements'!B102/'Financial Statements'!B28)</f>
        <v>0.90904079382579939</v>
      </c>
      <c r="D46">
        <f>((-1)*'Financial Statements'!C102/'Financial Statements'!C28)</f>
        <v>0.85781203676252593</v>
      </c>
      <c r="E46">
        <f>((-1)*'Financial Statements'!D102/'Financial Statements'!D28)</f>
        <v>0.80334322227293475</v>
      </c>
    </row>
    <row r="47" spans="1:9" x14ac:dyDescent="0.2">
      <c r="A47" s="18">
        <f t="shared" si="3"/>
        <v>5.6999999999999975</v>
      </c>
      <c r="B47" s="1" t="s">
        <v>136</v>
      </c>
      <c r="C47" s="30">
        <f>(C46/'List of Ratios'!G41)</f>
        <v>6.6256617625787134E-3</v>
      </c>
      <c r="D47" s="30">
        <f>(D46/'List of Ratios'!H41)</f>
        <v>6.1846577992972314E-3</v>
      </c>
      <c r="E47" s="30">
        <f>(E46/'List of Ratios'!I41)</f>
        <v>7.071683294656116E-3</v>
      </c>
    </row>
    <row r="48" spans="1:9" x14ac:dyDescent="0.2">
      <c r="A48" s="18">
        <f t="shared" si="3"/>
        <v>5.7999999999999972</v>
      </c>
      <c r="B48" s="1" t="s">
        <v>137</v>
      </c>
      <c r="C48">
        <f>('Financial Statements'!B22/'Financial Statements'!B68)</f>
        <v>1.9695887275023682</v>
      </c>
      <c r="D48">
        <f>('Financial Statements'!C22/'Financial Statements'!C68)</f>
        <v>1.5007132667617689</v>
      </c>
      <c r="E48">
        <f>('Financial Statements'!D22/'Financial Statements'!D68)</f>
        <v>0.87866358530127486</v>
      </c>
    </row>
    <row r="49" spans="1:5" x14ac:dyDescent="0.2">
      <c r="A49" s="18">
        <f t="shared" si="3"/>
        <v>5.8999999999999968</v>
      </c>
      <c r="B49" s="1" t="s">
        <v>138</v>
      </c>
      <c r="C49">
        <f>(C21/('Financial Statements'!B48-'Financial Statements'!B56))</f>
        <v>0.61497788935116937</v>
      </c>
      <c r="D49">
        <f>(D21/('Financial Statements'!C48-'Financial Statements'!C56))</f>
        <v>0.54430407811245962</v>
      </c>
      <c r="E49">
        <f>(E21/('Financial Statements'!D48-'Financial Statements'!D56))</f>
        <v>0.31997839777387227</v>
      </c>
    </row>
    <row r="50" spans="1:5" x14ac:dyDescent="0.2">
      <c r="A50" s="18">
        <f t="shared" si="3"/>
        <v>5.9999999999999964</v>
      </c>
      <c r="B50" s="1" t="s">
        <v>128</v>
      </c>
      <c r="C50">
        <f>C37</f>
        <v>0.28292440929256851</v>
      </c>
      <c r="D50">
        <f t="shared" ref="D50:E50" si="5">D37</f>
        <v>0.26974205275183616</v>
      </c>
      <c r="E50">
        <f t="shared" si="5"/>
        <v>0.1772557180259843</v>
      </c>
    </row>
    <row r="51" spans="1:5" x14ac:dyDescent="0.2">
      <c r="A51" s="18">
        <f t="shared" si="3"/>
        <v>6.0999999999999961</v>
      </c>
      <c r="B51" s="1" t="s">
        <v>139</v>
      </c>
      <c r="C51">
        <f>(C52/C19)</f>
        <v>17.446234954441483</v>
      </c>
      <c r="D51">
        <f t="shared" ref="D51:E51" si="6">(D52/D19)</f>
        <v>18.076893521143575</v>
      </c>
      <c r="E51">
        <f t="shared" si="6"/>
        <v>25.448990984315177</v>
      </c>
    </row>
    <row r="52" spans="1:5" x14ac:dyDescent="0.2">
      <c r="A52" s="18"/>
      <c r="B52" s="3" t="s">
        <v>140</v>
      </c>
      <c r="C52">
        <f>((G41*'Financial Statements'!B28)+('Financial Statements'!B59+'Financial Statements'!B55)-('Financial Statements'!B36))</f>
        <v>2326368.1999999997</v>
      </c>
      <c r="D52">
        <f>((H41*'Financial Statements'!C28)+('Financial Statements'!C59+'Financial Statements'!C55)-('Financial Statements'!C36))</f>
        <v>2422954.5</v>
      </c>
      <c r="E52">
        <f>((I41*'Financial Statements'!D28)+('Financial Statements'!D59+'Financial Statements'!D55)-('Financial Statements'!D36))</f>
        <v>2060604.7999999998</v>
      </c>
    </row>
    <row r="54" spans="1:5" x14ac:dyDescent="0.2">
      <c r="B54" s="11" t="s">
        <v>160</v>
      </c>
    </row>
    <row r="55" spans="1:5" x14ac:dyDescent="0.2">
      <c r="B55" s="31" t="s">
        <v>161</v>
      </c>
      <c r="C55" s="30">
        <f>(('Financial Statements'!B8-'Financial Statements'!C8)/'Financial Statements'!C8)</f>
        <v>7.7937876041846058E-2</v>
      </c>
      <c r="D55" s="30">
        <f>(('Financial Statements'!C8-'Financial Statements'!D8)/'Financial Statements'!D8)</f>
        <v>0.33259384733074693</v>
      </c>
      <c r="E55" s="30">
        <f>(('Financial Statements'!D8-'Financial Statements'!E8)/'Financial Statements'!E8)</f>
        <v>5.4715415293114182E-2</v>
      </c>
    </row>
    <row r="56" spans="1:5" x14ac:dyDescent="0.2">
      <c r="B56" s="31" t="s">
        <v>162</v>
      </c>
      <c r="C56" s="30">
        <f>(('Financial Statements'!B6-'Financial Statements'!C6)/'Financial Statements'!C6)</f>
        <v>6.3239764351428418E-2</v>
      </c>
      <c r="D56" s="30">
        <f>(('Financial Statements'!C6-'Financial Statements'!D6)/'Financial Statements'!D6)</f>
        <v>0.34720743656765435</v>
      </c>
      <c r="E56" s="30" t="e">
        <f>(('Financial Statements'!D6-'Financial Statements'!E6)/'Financial Statements'!E6)</f>
        <v>#DIV/0!</v>
      </c>
    </row>
    <row r="57" spans="1:5" x14ac:dyDescent="0.2">
      <c r="B57" s="31" t="s">
        <v>163</v>
      </c>
      <c r="C57" s="30">
        <f>(('Financial Statements'!B7-'Financial Statements'!C7)/'Financial Statements'!C7)</f>
        <v>0.14181951041286078</v>
      </c>
      <c r="D57" s="30">
        <f>(('Financial Statements'!C7-'Financial Statements'!D7)/'Financial Statements'!D7)</f>
        <v>0.27259708376729652</v>
      </c>
      <c r="E57" s="30" t="e">
        <f>(('Financial Statements'!D7-'Financial Statements'!E7)/'Financial Statements'!E7)</f>
        <v>#DIV/0!</v>
      </c>
    </row>
    <row r="58" spans="1:5" x14ac:dyDescent="0.2">
      <c r="B58" s="31" t="s">
        <v>89</v>
      </c>
      <c r="C58" s="30">
        <f>(('Financial Statements'!B13-'Financial Statements'!C13)/'Financial Statements'!C13)</f>
        <v>0.11741997958596143</v>
      </c>
      <c r="D58" s="30">
        <f>(('Financial Statements'!C13-'Financial Statements'!D13)/'Financial Statements'!D13)</f>
        <v>0.45619116582186819</v>
      </c>
      <c r="E58" s="30">
        <f>(('Financial Statements'!D13-'Financial Statements'!E13)/'Financial Statements'!E13)</f>
        <v>6.6712740873241722E-2</v>
      </c>
    </row>
    <row r="59" spans="1:5" x14ac:dyDescent="0.2">
      <c r="B59" s="31" t="s">
        <v>164</v>
      </c>
      <c r="C59" s="30">
        <f>(('Financial Statements'!B15-'Financial Statements'!C15)/'Financial Statements'!C15)</f>
        <v>0.19791001186456147</v>
      </c>
      <c r="D59" s="30">
        <f>(('Financial Statements'!C15-'Financial Statements'!D15)/'Financial Statements'!D15)</f>
        <v>0.16862201365187712</v>
      </c>
      <c r="E59" s="30">
        <f>(('Financial Statements'!D15-'Financial Statements'!E15)/'Financial Statements'!E15)</f>
        <v>0.15631744465684158</v>
      </c>
    </row>
    <row r="60" spans="1:5" x14ac:dyDescent="0.2">
      <c r="B60" s="31" t="s">
        <v>165</v>
      </c>
      <c r="C60" s="30">
        <f>(('Financial Statements'!B16-'Financial Statements'!C16)/'Financial Statements'!C16)</f>
        <v>0.14203795567287125</v>
      </c>
      <c r="D60" s="30">
        <f>(('Financial Statements'!C16-'Financial Statements'!D16)/'Financial Statements'!D16)</f>
        <v>0.10328379192608958</v>
      </c>
      <c r="E60" s="30">
        <f>(('Financial Statements'!D16-'Financial Statements'!E16)/'Financial Statements'!E16)</f>
        <v>9.1586736092080026E-2</v>
      </c>
    </row>
    <row r="61" spans="1:5" x14ac:dyDescent="0.2">
      <c r="B61" s="31" t="s">
        <v>166</v>
      </c>
      <c r="C61" s="30">
        <f>(('Financial Statements'!B17-'Financial Statements'!C17)/'Financial Statements'!C17)</f>
        <v>0.16993642764372138</v>
      </c>
      <c r="D61" s="30">
        <f>(('Financial Statements'!C17-'Financial Statements'!D17)/'Financial Statements'!D17)</f>
        <v>0.13496948381090307</v>
      </c>
      <c r="E61" s="30">
        <f>(('Financial Statements'!D17-'Financial Statements'!E17)/'Financial Statements'!E17)</f>
        <v>0.12204747257849226</v>
      </c>
    </row>
    <row r="62" spans="1:5" x14ac:dyDescent="0.2">
      <c r="B62" s="8" t="s">
        <v>31</v>
      </c>
      <c r="C62" s="30">
        <f>(('Financial Statements'!B42-'Financial Statements'!C42)/'Financial Statements'!C42)</f>
        <v>4.2199412619775131E-3</v>
      </c>
      <c r="D62" s="30">
        <f>(('Financial Statements'!C42-'Financial Statements'!D42)/'Financial Statements'!D42)</f>
        <v>-6.176894226687913E-2</v>
      </c>
      <c r="E62" s="30">
        <f>(('Financial Statements'!D42-'Financial Statements'!E42)/'Financial Statements'!E42)</f>
        <v>-0.11734502730025366</v>
      </c>
    </row>
    <row r="63" spans="1:5" x14ac:dyDescent="0.2">
      <c r="B63" s="8" t="s">
        <v>50</v>
      </c>
      <c r="C63" s="30">
        <f>(('Financial Statements'!B47-'Financial Statements'!C47)/'Financial Statements'!C47)</f>
        <v>5.4772720964443994E-3</v>
      </c>
      <c r="D63" s="30">
        <f>(('Financial Statements'!C47-'Financial Statements'!D47)/'Financial Statements'!D47)</f>
        <v>0.19975579297904814</v>
      </c>
      <c r="E63" s="30">
        <f>(('Financial Statements'!D47-'Financial Statements'!E47)/'Financial Statements'!E47)</f>
        <v>2.548706010916521E-2</v>
      </c>
    </row>
    <row r="64" spans="1:5" ht="16" thickBot="1" x14ac:dyDescent="0.25">
      <c r="B64" s="9" t="s">
        <v>33</v>
      </c>
      <c r="C64" s="30">
        <f>(('Financial Statements'!B48-'Financial Statements'!C48)/'Financial Statements'!C48)</f>
        <v>4.9942735369029236E-3</v>
      </c>
      <c r="D64" s="30">
        <f>(('Financial Statements'!C48-'Financial Statements'!D48)/'Financial Statements'!D48)</f>
        <v>8.3714123400681711E-2</v>
      </c>
      <c r="E64" s="30">
        <f>(('Financial Statements'!D48-'Financial Statements'!E48)/'Financial Statements'!E48)</f>
        <v>-4.3212137683300053E-2</v>
      </c>
    </row>
    <row r="65" spans="2:5" ht="16" thickTop="1" x14ac:dyDescent="0.2">
      <c r="B65" s="8" t="s">
        <v>40</v>
      </c>
      <c r="C65" s="30">
        <f>(('Financial Statements'!B56-'Financial Statements'!C56)/'Financial Statements'!C56)</f>
        <v>0.22713398841258836</v>
      </c>
      <c r="D65" s="30">
        <f>(('Financial Statements'!C56-'Financial Statements'!D56)/'Financial Statements'!D56)</f>
        <v>0.19061219067860938</v>
      </c>
      <c r="E65" s="30">
        <f>(('Financial Statements'!D56-'Financial Statements'!E56)/'Financial Statements'!E56)</f>
        <v>-3.0836754384305416E-3</v>
      </c>
    </row>
    <row r="66" spans="2:5" x14ac:dyDescent="0.2">
      <c r="B66" s="23" t="s">
        <v>53</v>
      </c>
      <c r="C66" s="30">
        <f>(('Financial Statements'!B61-'Financial Statements'!C61)/'Financial Statements'!C61)</f>
        <v>-8.8222075835277747E-2</v>
      </c>
      <c r="D66" s="30">
        <f>(('Financial Statements'!C61-'Financial Statements'!D61)/'Financial Statements'!D61)</f>
        <v>6.0552243775994566E-2</v>
      </c>
      <c r="E66" s="30">
        <f>(('Financial Statements'!D61-'Financial Statements'!E61)/'Financial Statements'!E61)</f>
        <v>7.6220926147143556E-2</v>
      </c>
    </row>
    <row r="67" spans="2:5" x14ac:dyDescent="0.2">
      <c r="B67" s="8" t="s">
        <v>41</v>
      </c>
      <c r="C67" s="30">
        <f>(('Financial Statements'!B62-'Financial Statements'!C62)/'Financial Statements'!C62)</f>
        <v>4.9219900525160468E-2</v>
      </c>
      <c r="D67" s="30">
        <f>(('Financial Statements'!C62-'Financial Statements'!D62)/'Financial Statements'!D62)</f>
        <v>0.11356841449783213</v>
      </c>
      <c r="E67" s="30">
        <f>(('Financial Statements'!D62-'Financial Statements'!E62)/'Financial Statements'!E62)</f>
        <v>4.2418597900237068E-2</v>
      </c>
    </row>
    <row r="68" spans="2:5" x14ac:dyDescent="0.2">
      <c r="B68" s="8" t="s">
        <v>45</v>
      </c>
      <c r="C68" s="30">
        <f>(('Financial Statements'!B68-'Financial Statements'!C68)/'Financial Statements'!C68)</f>
        <v>-0.19682992550324932</v>
      </c>
      <c r="D68" s="30">
        <f>(('Financial Statements'!C68-'Financial Statements'!D68)/'Financial Statements'!D68)</f>
        <v>-3.4420483937617659E-2</v>
      </c>
      <c r="E68" s="30">
        <f>(('Financial Statements'!D68-'Financial Statements'!E68)/'Financial Statements'!E68)</f>
        <v>-0.27792635487578465</v>
      </c>
    </row>
    <row r="69" spans="2:5" ht="16" thickBot="1" x14ac:dyDescent="0.25">
      <c r="B69" s="9" t="s">
        <v>46</v>
      </c>
      <c r="C69" s="30">
        <f>(('Financial Statements'!B69-'Financial Statements'!C69)/'Financial Statements'!C69)</f>
        <v>4.9942735369029236E-3</v>
      </c>
      <c r="D69" s="30">
        <f>(('Financial Statements'!C69-'Financial Statements'!D69)/'Financial Statements'!D69)</f>
        <v>8.3714123400681711E-2</v>
      </c>
      <c r="E69" s="30">
        <f>(('Financial Statements'!D69-'Financial Statements'!E69)/'Financial Statements'!E69)</f>
        <v>-4.3212137683300053E-2</v>
      </c>
    </row>
    <row r="70" spans="2:5" ht="16" thickTop="1" x14ac:dyDescent="0.2"/>
    <row r="71" spans="2:5" x14ac:dyDescent="0.2">
      <c r="B71" s="32" t="s">
        <v>167</v>
      </c>
    </row>
    <row r="72" spans="2:5" x14ac:dyDescent="0.2">
      <c r="B72" s="31" t="s">
        <v>146</v>
      </c>
      <c r="C72" s="30">
        <f>'Financial Statements'!B12/'Financial Statements'!B8</f>
        <v>0.56690369438639909</v>
      </c>
      <c r="D72" s="30">
        <f>'Financial Statements'!C12/'Financial Statements'!C8</f>
        <v>0.58220640374832222</v>
      </c>
      <c r="E72" s="30">
        <f>'Financial Statements'!D12/'Financial Statements'!D8</f>
        <v>0.61766752272189129</v>
      </c>
    </row>
    <row r="73" spans="2:5" x14ac:dyDescent="0.2">
      <c r="B73" s="31" t="s">
        <v>89</v>
      </c>
      <c r="C73" s="30">
        <f>'Financial Statements'!B13/'Financial Statements'!B8</f>
        <v>0.43309630561360085</v>
      </c>
      <c r="D73" s="30">
        <f>'Financial Statements'!C13/'Financial Statements'!C8</f>
        <v>0.41779359625167778</v>
      </c>
      <c r="E73" s="30">
        <f>'Financial Statements'!D13/'Financial Statements'!D8</f>
        <v>0.38233247727810865</v>
      </c>
    </row>
    <row r="74" spans="2:5" x14ac:dyDescent="0.2">
      <c r="B74" s="31" t="s">
        <v>164</v>
      </c>
      <c r="C74" s="30">
        <f>'Financial Statements'!B15/'Financial Statements'!B8</f>
        <v>6.657148363798665E-2</v>
      </c>
      <c r="D74" s="30">
        <f>'Financial Statements'!C15/'Financial Statements'!C8</f>
        <v>5.9904269074427925E-2</v>
      </c>
      <c r="E74" s="30">
        <f>'Financial Statements'!D15/'Financial Statements'!D8</f>
        <v>6.8309564140393061E-2</v>
      </c>
    </row>
    <row r="75" spans="2:5" x14ac:dyDescent="0.2">
      <c r="B75" s="31" t="s">
        <v>165</v>
      </c>
      <c r="C75" s="30">
        <f>'Financial Statements'!B16/'Financial Statements'!B8</f>
        <v>6.3637378020328261E-2</v>
      </c>
      <c r="D75" s="30">
        <f>'Financial Statements'!C16/'Financial Statements'!C8</f>
        <v>6.006555190163388E-2</v>
      </c>
      <c r="E75" s="30">
        <f>'Financial Statements'!D16/'Financial Statements'!D8</f>
        <v>7.2549769593646979E-2</v>
      </c>
    </row>
    <row r="76" spans="2:5" x14ac:dyDescent="0.2">
      <c r="B76" s="31" t="s">
        <v>166</v>
      </c>
      <c r="C76" s="30">
        <f>'Financial Statements'!B17/'Financial Statements'!B8</f>
        <v>0.13020886165831491</v>
      </c>
      <c r="D76" s="30">
        <f>'Financial Statements'!C17/'Financial Statements'!C8</f>
        <v>0.11996982097606181</v>
      </c>
      <c r="E76" s="30">
        <f>'Financial Statements'!D17/'Financial Statements'!D8</f>
        <v>0.14085933373404003</v>
      </c>
    </row>
    <row r="77" spans="2:5" x14ac:dyDescent="0.2">
      <c r="B77" s="31" t="s">
        <v>168</v>
      </c>
      <c r="C77" s="30">
        <f>'Financial Statements'!B18/'Financial Statements'!B8</f>
        <v>0.30288744395528594</v>
      </c>
      <c r="D77" s="30">
        <f>'Financial Statements'!C18/'Financial Statements'!C8</f>
        <v>0.29782377527561593</v>
      </c>
      <c r="E77" s="30">
        <f>'Financial Statements'!D18/'Financial Statements'!D8</f>
        <v>0.24147314354406862</v>
      </c>
    </row>
    <row r="78" spans="2:5" x14ac:dyDescent="0.2">
      <c r="B78" s="31" t="s">
        <v>169</v>
      </c>
      <c r="C78" s="30">
        <f>'Financial Statements'!B22/'Financial Statements'!B8</f>
        <v>0.25309640705199732</v>
      </c>
      <c r="D78" s="30">
        <f>'Financial Statements'!C22/'Financial Statements'!C8</f>
        <v>0.25881793355694238</v>
      </c>
      <c r="E78" s="30">
        <f>'Financial Statements'!D22/'Financial Statements'!D8</f>
        <v>0.20913611278072236</v>
      </c>
    </row>
    <row r="80" spans="2:5" x14ac:dyDescent="0.2">
      <c r="B80" s="17" t="s">
        <v>98</v>
      </c>
    </row>
    <row r="81" spans="2:7" x14ac:dyDescent="0.2">
      <c r="B81" s="1"/>
    </row>
    <row r="82" spans="2:7" x14ac:dyDescent="0.2">
      <c r="B82" s="1" t="s">
        <v>95</v>
      </c>
      <c r="C82" s="30">
        <f>'Financial Statements'!B96/'Financial Statements'!B8*-1</f>
        <v>2.7155058732831552E-2</v>
      </c>
      <c r="D82" s="30">
        <f>'Financial Statements'!C96/'Financial Statements'!C8*-1</f>
        <v>3.0302036264033657E-2</v>
      </c>
      <c r="E82" s="30">
        <f>'Financial Statements'!D96/'Financial Statements'!D8*-1</f>
        <v>2.6625138881299748E-2</v>
      </c>
      <c r="G82" s="33" t="s">
        <v>170</v>
      </c>
    </row>
    <row r="83" spans="2:7" x14ac:dyDescent="0.2">
      <c r="B83" s="1" t="s">
        <v>96</v>
      </c>
      <c r="C83" s="30">
        <f>'Financial Statements'!B96/'Financial Statements'!B47*-1</f>
        <v>4.9266160570508394E-2</v>
      </c>
      <c r="D83" s="30">
        <f>'Financial Statements'!C96/'Financial Statements'!C47*-1</f>
        <v>5.1280034788079534E-2</v>
      </c>
      <c r="E83" s="30">
        <f>'Financial Statements'!D96/'Financial Statements'!D47*-1</f>
        <v>4.0566116275842931E-2</v>
      </c>
    </row>
    <row r="84" spans="2:7" x14ac:dyDescent="0.2">
      <c r="B84" s="1" t="s">
        <v>171</v>
      </c>
      <c r="C84" s="30">
        <f>'Financial Statements'!B21/'Financial Statements'!B20</f>
        <v>0.16204461684424407</v>
      </c>
      <c r="D84" s="30">
        <f>'Financial Statements'!C21/'Financial Statements'!C20</f>
        <v>0.13302260844085087</v>
      </c>
      <c r="E84" s="30">
        <f>'Financial Statements'!D21/'Financial Statements'!D20</f>
        <v>0.14428164731484103</v>
      </c>
    </row>
    <row r="85" spans="2:7" x14ac:dyDescent="0.2">
      <c r="B85" t="s">
        <v>172</v>
      </c>
      <c r="C85" s="30">
        <f>'Financial Statements'!B113/'Financial Statements'!B20</f>
        <v>0.1643367505436471</v>
      </c>
      <c r="D85" s="30">
        <f>'Financial Statements'!C113/'Financial Statements'!C20</f>
        <v>0.23244846942045841</v>
      </c>
      <c r="E85" s="30">
        <f>'Financial Statements'!D113/'Financial Statements'!D20</f>
        <v>0.14161362924982487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A16:E21 A22:B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2023-12-01T17:26:29Z</dcterms:modified>
</cp:coreProperties>
</file>