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avianroberts/Desktop/QCP/"/>
    </mc:Choice>
  </mc:AlternateContent>
  <xr:revisionPtr revIDLastSave="0" documentId="13_ncr:1_{42175111-9112-5E4E-B49B-D6B1D9EE9C97}" xr6:coauthVersionLast="46" xr6:coauthVersionMax="47" xr10:uidLastSave="{00000000-0000-0000-0000-000000000000}"/>
  <bookViews>
    <workbookView xWindow="0" yWindow="0" windowWidth="23260" windowHeight="13900" activeTab="2" xr2:uid="{00000000-000D-0000-FFFF-FFFF00000000}"/>
  </bookViews>
  <sheets>
    <sheet name="Instructions" sheetId="1" r:id="rId1"/>
    <sheet name="Financial Statements" sheetId="2" r:id="rId2"/>
    <sheet name="List of Ratios" sheetId="3" r:id="rId3"/>
    <sheet name="Sheet1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3" l="1"/>
  <c r="E48" i="3"/>
  <c r="C48" i="3"/>
  <c r="E30" i="3"/>
  <c r="D30" i="3"/>
  <c r="C30" i="3"/>
  <c r="D29" i="3"/>
  <c r="E29" i="3"/>
  <c r="C29" i="3"/>
  <c r="E43" i="3"/>
  <c r="D51" i="3"/>
  <c r="E51" i="3"/>
  <c r="C51" i="3"/>
  <c r="D47" i="3"/>
  <c r="E47" i="3"/>
  <c r="C47" i="3"/>
  <c r="D43" i="3"/>
  <c r="D42" i="3" s="1"/>
  <c r="E42" i="3"/>
  <c r="C43" i="3"/>
  <c r="C42" i="3" s="1"/>
  <c r="D41" i="3"/>
  <c r="D40" i="3" s="1"/>
  <c r="E41" i="3"/>
  <c r="E40" i="3" s="1"/>
  <c r="C41" i="3"/>
  <c r="C40" i="3" s="1"/>
  <c r="D36" i="3"/>
  <c r="E36" i="3"/>
  <c r="D37" i="3"/>
  <c r="D49" i="3" s="1"/>
  <c r="E37" i="3"/>
  <c r="E49" i="3" s="1"/>
  <c r="C37" i="3"/>
  <c r="C49" i="3" s="1"/>
  <c r="C36" i="3"/>
  <c r="F36" i="3" s="1"/>
  <c r="D35" i="3"/>
  <c r="E35" i="3"/>
  <c r="C35" i="3"/>
  <c r="D34" i="3"/>
  <c r="E34" i="3"/>
  <c r="C34" i="3"/>
  <c r="E31" i="3"/>
  <c r="D31" i="3"/>
  <c r="C31" i="3"/>
  <c r="E114" i="2"/>
  <c r="D114" i="2"/>
  <c r="C114" i="2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D20" i="3" s="1"/>
  <c r="E21" i="3"/>
  <c r="E28" i="3" s="1"/>
  <c r="C21" i="3"/>
  <c r="C28" i="3" s="1"/>
  <c r="D19" i="3"/>
  <c r="D18" i="3" s="1"/>
  <c r="E19" i="3"/>
  <c r="E18" i="3" s="1"/>
  <c r="C19" i="3"/>
  <c r="C18" i="3" s="1"/>
  <c r="D17" i="3"/>
  <c r="E17" i="3"/>
  <c r="C17" i="3"/>
  <c r="D14" i="3"/>
  <c r="D13" i="3" s="1"/>
  <c r="E14" i="3"/>
  <c r="E13" i="3" s="1"/>
  <c r="C14" i="3"/>
  <c r="C13" i="3" s="1"/>
  <c r="D11" i="3"/>
  <c r="E11" i="3"/>
  <c r="C11" i="3"/>
  <c r="D10" i="3"/>
  <c r="E10" i="3"/>
  <c r="C10" i="3"/>
  <c r="D9" i="3"/>
  <c r="E9" i="3"/>
  <c r="C9" i="3"/>
  <c r="D8" i="3"/>
  <c r="E8" i="3"/>
  <c r="C8" i="3"/>
  <c r="D7" i="3"/>
  <c r="E7" i="3"/>
  <c r="D6" i="3"/>
  <c r="E6" i="3"/>
  <c r="D5" i="3"/>
  <c r="E5" i="3"/>
  <c r="C20" i="3" l="1"/>
  <c r="E20" i="3"/>
  <c r="C50" i="3"/>
  <c r="E12" i="3"/>
  <c r="E50" i="3"/>
  <c r="D50" i="3"/>
  <c r="D28" i="3"/>
  <c r="D12" i="3"/>
  <c r="C12" i="3"/>
  <c r="E67" i="2" l="1"/>
  <c r="E64" i="2"/>
  <c r="E65" i="2"/>
  <c r="D65" i="2"/>
  <c r="D64" i="2"/>
  <c r="D66" i="2"/>
  <c r="E66" i="2"/>
  <c r="D67" i="2"/>
  <c r="C59" i="2"/>
  <c r="E57" i="2"/>
  <c r="E58" i="2"/>
  <c r="D57" i="2"/>
  <c r="D58" i="2"/>
  <c r="E56" i="2"/>
  <c r="D56" i="2"/>
  <c r="D69" i="2"/>
  <c r="D68" i="2"/>
  <c r="E69" i="2"/>
  <c r="E68" i="2"/>
  <c r="C54" i="2"/>
  <c r="E52" i="2"/>
  <c r="E53" i="2"/>
  <c r="D52" i="2"/>
  <c r="D53" i="2"/>
  <c r="E51" i="2"/>
  <c r="D51" i="2"/>
  <c r="C47" i="2"/>
  <c r="E44" i="2"/>
  <c r="E45" i="2"/>
  <c r="E46" i="2"/>
  <c r="E43" i="2"/>
  <c r="D44" i="2"/>
  <c r="D45" i="2"/>
  <c r="D46" i="2"/>
  <c r="D43" i="2"/>
  <c r="E37" i="2" a="1"/>
  <c r="E37" i="2" s="1"/>
  <c r="E41" i="2" s="1"/>
  <c r="D38" i="2"/>
  <c r="D39" i="2"/>
  <c r="D40" i="2"/>
  <c r="D37" i="2"/>
  <c r="C41" i="2"/>
  <c r="B23" i="2"/>
  <c r="C23" i="2"/>
  <c r="D23" i="2"/>
  <c r="E23" i="2"/>
  <c r="C8" i="2"/>
  <c r="C13" i="2" s="1"/>
  <c r="C15" i="2" s="1"/>
  <c r="D8" i="2"/>
  <c r="D18" i="2" s="1"/>
  <c r="E8" i="2"/>
  <c r="E18" i="2" s="1"/>
  <c r="B8" i="2"/>
  <c r="B13" i="2" s="1"/>
  <c r="B15" i="2" s="1"/>
  <c r="A5" i="3"/>
  <c r="A6" i="3"/>
  <c r="A7" i="3" s="1"/>
  <c r="A8" i="3" s="1"/>
  <c r="A9" i="3" s="1"/>
  <c r="A10" i="3" s="1"/>
  <c r="A11" i="3" s="1"/>
  <c r="A12" i="3" s="1"/>
  <c r="A13" i="3" s="1"/>
  <c r="A16" i="3"/>
  <c r="A17" i="3" s="1"/>
  <c r="A18" i="3" s="1"/>
  <c r="A20" i="3" s="1"/>
  <c r="A22" i="3" s="1"/>
  <c r="A47" i="3"/>
  <c r="A49" i="3" s="1"/>
  <c r="C7" i="3" l="1"/>
  <c r="C6" i="3"/>
  <c r="C5" i="3"/>
  <c r="C48" i="2"/>
  <c r="D54" i="2"/>
  <c r="E59" i="2"/>
  <c r="E54" i="2"/>
  <c r="E60" i="2" s="1"/>
  <c r="D59" i="2"/>
  <c r="C60" i="2"/>
  <c r="E13" i="2"/>
  <c r="E15" i="2" s="1"/>
  <c r="D47" i="2"/>
  <c r="E47" i="2"/>
  <c r="E48" i="2" s="1"/>
  <c r="C18" i="2"/>
  <c r="D13" i="2"/>
  <c r="D15" i="2" s="1"/>
  <c r="D41" i="2"/>
  <c r="D48" i="2" s="1"/>
  <c r="B18" i="2"/>
  <c r="A24" i="3"/>
  <c r="D60" i="2" l="1"/>
  <c r="A33" i="3"/>
  <c r="A25" i="3"/>
  <c r="A26" i="3" s="1"/>
  <c r="A27" i="3" s="1"/>
  <c r="A28" i="3" s="1"/>
  <c r="A29" i="3" l="1"/>
  <c r="A30" i="3" s="1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<sst xmlns="http://schemas.openxmlformats.org/spreadsheetml/2006/main" count="307" uniqueCount="243">
  <si>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</si>
  <si>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</si>
  <si>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</si>
  <si>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</si>
  <si>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</si>
  <si>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</si>
  <si>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</si>
  <si>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</si>
  <si>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</si>
  <si>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</si>
  <si>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</si>
  <si>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</si>
  <si>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</si>
  <si>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</si>
  <si>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</si>
  <si>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</si>
  <si>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</si>
  <si>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</si>
  <si>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</si>
  <si>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</si>
  <si>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</si>
  <si>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</si>
  <si>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</si>
  <si>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</si>
  <si>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</si>
  <si>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</si>
  <si>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</si>
  <si>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</si>
  <si>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</si>
  <si>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</si>
  <si>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</si>
  <si>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</si>
  <si>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</si>
  <si>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</si>
  <si>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</si>
  <si>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</si>
  <si>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</si>
  <si>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</si>
  <si>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</si>
  <si>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</si>
  <si>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</si>
  <si>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</si>
  <si>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</si>
  <si>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</si>
  <si>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</si>
  <si>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</si>
  <si>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</si>
  <si>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</si>
  <si>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</si>
  <si>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</si>
  <si>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</si>
  <si>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</si>
  <si>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</si>
  <si>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</si>
  <si>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</si>
  <si>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</si>
  <si>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</si>
  <si>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</si>
  <si>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</si>
  <si>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</si>
  <si>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</si>
  <si>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</si>
  <si>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</si>
  <si>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</si>
  <si>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</si>
  <si>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</si>
  <si>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</si>
  <si>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</si>
  <si>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</si>
  <si>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</si>
  <si>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</si>
  <si>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</si>
  <si>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</si>
  <si>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</si>
  <si>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</si>
  <si>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</si>
  <si>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</si>
  <si>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</si>
  <si>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</si>
  <si>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</si>
  <si>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</si>
  <si>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</si>
  <si>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</si>
  <si>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</si>
  <si>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</si>
  <si>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</si>
  <si>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</si>
  <si>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</si>
  <si>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</si>
  <si>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</si>
  <si>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</si>
  <si>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</si>
  <si>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</si>
  <si>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</si>
  <si>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</si>
  <si>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</si>
  <si>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</si>
  <si>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</si>
  <si>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</si>
  <si>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</si>
  <si>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</si>
  <si>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</si>
  <si>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</si>
  <si>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</si>
  <si>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</si>
  <si>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</si>
  <si>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</si>
  <si>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</si>
  <si>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</si>
  <si>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</si>
  <si>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</si>
  <si>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</si>
  <si>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</si>
  <si>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</si>
  <si>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</si>
  <si>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</si>
  <si>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Cash generated by/(used in) investing activities</t>
  </si>
  <si>
    <t>Financing activities:</t>
  </si>
  <si>
    <t>Repurchases of common stock</t>
  </si>
  <si>
    <t>Repayments of term debt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</si>
  <si>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</si>
  <si>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</si>
  <si>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</si>
  <si>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</si>
  <si>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</si>
  <si>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AMAZON.COM INC.</t>
  </si>
  <si>
    <t xml:space="preserve">160,408 120,114 </t>
  </si>
  <si>
    <t xml:space="preserve">165,536 40,232 35,931 18,878 </t>
  </si>
  <si>
    <t xml:space="preserve">5,203 201 </t>
  </si>
  <si>
    <t xml:space="preserve">14,541 832 </t>
  </si>
  <si>
    <t xml:space="preserve">(1,600) 203 </t>
  </si>
  <si>
    <t xml:space="preserve">13,976 (2,374) (14) </t>
  </si>
  <si>
    <t xml:space="preserve">11,588 23.46 23.01 </t>
  </si>
  <si>
    <t xml:space="preserve">494 504 </t>
  </si>
  <si>
    <t xml:space="preserve">$ </t>
  </si>
  <si>
    <t xml:space="preserve">215,915 170,149 </t>
  </si>
  <si>
    <t xml:space="preserve">233,307 58,517 42,740 22,008 </t>
  </si>
  <si>
    <t xml:space="preserve">6,668 (75) </t>
  </si>
  <si>
    <t xml:space="preserve">(1,647) 2,371 </t>
  </si>
  <si>
    <t xml:space="preserve">24,178 (2,863) </t>
  </si>
  <si>
    <t xml:space="preserve">21,331 42.64 41.83 </t>
  </si>
  <si>
    <t xml:space="preserve">500 510 </t>
  </si>
  <si>
    <t xml:space="preserve">241,787 228,035 </t>
  </si>
  <si>
    <t xml:space="preserve">272,344 75,111 56,052 32,551 </t>
  </si>
  <si>
    <t xml:space="preserve">8,823 62 </t>
  </si>
  <si>
    <t xml:space="preserve">24,879 448 </t>
  </si>
  <si>
    <t xml:space="preserve">(1,809) 14,633 </t>
  </si>
  <si>
    <t xml:space="preserve">38,151 (4,791) </t>
  </si>
  <si>
    <t xml:space="preserve">65.96 64.81 </t>
  </si>
  <si>
    <t xml:space="preserve">506 515 </t>
  </si>
  <si>
    <t>Years ended Dec 31</t>
  </si>
  <si>
    <t xml:space="preserve">Equity-method investment activity, net of tax </t>
  </si>
  <si>
    <t xml:space="preserve">Accounts recievable, net and other </t>
  </si>
  <si>
    <t>AMAZON.COM, INC. CONSOLIDATED STATEMENTS OF CASH FLOWS (in millions)</t>
  </si>
  <si>
    <t>Year Ended December 31,</t>
  </si>
  <si>
    <t>CASH, CASH EQUIVALENTS, AND RESTRICTED CASH, BEGINNING OF PERIOD OPERATING ACTIVITIES:</t>
  </si>
  <si>
    <t>s</t>
  </si>
  <si>
    <t>$</t>
  </si>
  <si>
    <t>Net income (loss)</t>
  </si>
  <si>
    <t>Adjustments to reconcile net income (loss) to net cash from operating activities: Depreciation and amortization of property and equipment and capitalized content costs, operating lease assets, and other</t>
  </si>
  <si>
    <t>Stock-based compensation</t>
  </si>
  <si>
    <t>Other expense (income), net</t>
  </si>
  <si>
    <t>Deferred income taxes Changes in operating assets and liabilities:</t>
  </si>
  <si>
    <t>Accounts receivable, net and other</t>
  </si>
  <si>
    <t>Accrued expenses and other</t>
  </si>
  <si>
    <t>Unearned revenue</t>
  </si>
  <si>
    <t>Net cash provided by (used in) operating activities</t>
  </si>
  <si>
    <t>INVESTING ACTIVITIES: 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</si>
  <si>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</si>
  <si>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</si>
  <si>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</si>
  <si>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activities</t>
  </si>
  <si>
    <t>FINANCING ACTIVITIES: 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</si>
  <si>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</si>
  <si>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</si>
  <si>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</si>
  <si>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</si>
  <si>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</si>
  <si>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</si>
  <si>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</si>
  <si>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</si>
  <si>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</si>
  <si>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</si>
  <si>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See accompanying notes to consolidated financial statements.</t>
  </si>
  <si>
    <t>AMAZON.COM, INC. CONSOLIDATED STATEMENTS OF OPERATIONS (in millions, except per share data)</t>
  </si>
  <si>
    <t>Net product sales</t>
  </si>
  <si>
    <t>Net service sales</t>
  </si>
  <si>
    <t>Operating expenses: 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</si>
  <si>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</si>
  <si>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</si>
  <si>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</si>
  <si>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</si>
  <si>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</si>
  <si>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</si>
  <si>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</si>
  <si>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</si>
  <si>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</si>
  <si>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</si>
  <si>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</si>
  <si>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</si>
  <si>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Basic earnings per share</t>
  </si>
  <si>
    <t>Diluted earnings per share Weighted-average shares used in computation of earnings per share:</t>
  </si>
  <si>
    <t>December 31,</t>
  </si>
  <si>
    <t>ASSETS</t>
  </si>
  <si>
    <t>Current assets: Cash and cash equivalents</t>
  </si>
  <si>
    <t>Property and equipment, net</t>
  </si>
  <si>
    <t>Operating leases</t>
  </si>
  <si>
    <t>Goodwill</t>
  </si>
  <si>
    <t>Other assets</t>
  </si>
  <si>
    <t>LIABILITIES AND STOCKHOLDERS' EQUITY</t>
  </si>
  <si>
    <t>Long-term lease liabilities</t>
  </si>
  <si>
    <t>Long-term debt</t>
  </si>
  <si>
    <t>Other long-term liabilities Commitments and contingencies (Note 7)</t>
  </si>
  <si>
    <t>Stockholders' equity: Preferred stock ($0.01 par value; 500 shares authorized; no shares issued or outstanding) Common stock ($0.01 par value; 100,000 shares authorized; 10,644 and 10,757 shares issued; 10,175 and 10,242 shares outstanding)</t>
  </si>
  <si>
    <t>Treasury stock, at cost</t>
  </si>
  <si>
    <t>Additional paid-in capital</t>
  </si>
  <si>
    <t>Accumulated other comprehensive income (loss)</t>
  </si>
  <si>
    <t>Total stockholders' equity</t>
  </si>
  <si>
    <t>Total liabilities and stockholders' equity</t>
  </si>
  <si>
    <t xml:space="preserve">operating leases </t>
  </si>
  <si>
    <t>goodwill</t>
  </si>
  <si>
    <t>.</t>
  </si>
  <si>
    <t>Common stock ($0.01 par value; 100,000 shares authorized; 10,644 and 10,757 shares issued; 10,175 and 10,242 shares outstanding)</t>
  </si>
  <si>
    <t xml:space="preserve">Accrued expenses and other </t>
  </si>
  <si>
    <t>Purchases of property and equipment</t>
  </si>
  <si>
    <t xml:space="preserve">Proceeds from property and equipment sales and incentives </t>
  </si>
  <si>
    <t xml:space="preserve">Acquisitions, net of cash acquired, and other </t>
  </si>
  <si>
    <t xml:space="preserve">Sales and maturities of marketable securities </t>
  </si>
  <si>
    <t xml:space="preserve">Payments of marketable securities </t>
  </si>
  <si>
    <t xml:space="preserve">proceeds from short-term debt, and other </t>
  </si>
  <si>
    <t xml:space="preserve">repayments of short-term debt, and other </t>
  </si>
  <si>
    <t>proceeds from long-term debt</t>
  </si>
  <si>
    <t>principal repayments of finance leases</t>
  </si>
  <si>
    <t xml:space="preserve">principal repayments of financing obligations </t>
  </si>
  <si>
    <t xml:space="preserve">foreign currency effect on cash, cash equivalents, and resticted </t>
  </si>
  <si>
    <t>Cash paid for interest (on debt, finance leases, and financing obligations)</t>
  </si>
  <si>
    <t>(In millions, except per share data)</t>
  </si>
  <si>
    <t xml:space="preserve">number of shares rounded to nearest million </t>
  </si>
  <si>
    <t>closing price:</t>
  </si>
  <si>
    <t>Remove row 57 and add Proceeds from debt issuance and repayment from cash flow statement</t>
  </si>
  <si>
    <t>Do not divide share count by 1000 for this company, it is already stated in millions</t>
  </si>
  <si>
    <t>Capital employed (denominator) =  (Term debt +Total Shareholders Equity). When you calculate Capital as Total assets - Current liabilities, other long term liabilities such as deferred taxes or other liabilities as per accounting conventions will be considered capital, but the actual capital is only Debt/borrowings and Equity only.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</si>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</sst>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1"/>
      <name val="TimesNewRoman"/>
    </font>
    <font>
      <b/>
      <sz val="10"/>
      <color theme="1"/>
      <name val="TimesNewRoman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164" fontId="0" fillId="0" borderId="3" xfId="1" applyNumberFormat="1" applyFont="1" applyBorder="1"/>
    <xf numFmtId="164" fontId="2" fillId="0" borderId="0" xfId="1" applyNumberFormat="1" applyFont="1" applyBorder="1"/>
    <xf numFmtId="164" fontId="0" fillId="0" borderId="0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0" fontId="8" fillId="0" borderId="0" xfId="0" applyFont="1"/>
    <xf numFmtId="3" fontId="8" fillId="0" borderId="0" xfId="0" applyNumberFormat="1" applyFont="1"/>
    <xf numFmtId="164" fontId="2" fillId="0" borderId="3" xfId="1" applyNumberFormat="1" applyFont="1" applyBorder="1"/>
    <xf numFmtId="164" fontId="0" fillId="0" borderId="0" xfId="0" applyNumberFormat="1"/>
    <xf numFmtId="164" fontId="2" fillId="0" borderId="0" xfId="0" applyNumberFormat="1" applyFont="1"/>
    <xf numFmtId="2" fontId="0" fillId="0" borderId="0" xfId="3" applyNumberFormat="1" applyFont="1"/>
    <xf numFmtId="166" fontId="3" fillId="2" borderId="0" xfId="0" applyNumberFormat="1" applyFont="1" applyFill="1"/>
    <xf numFmtId="166" fontId="3" fillId="2" borderId="0" xfId="3" applyNumberFormat="1" applyFont="1" applyFill="1"/>
    <xf numFmtId="166" fontId="0" fillId="0" borderId="0" xfId="3" applyNumberFormat="1" applyFont="1"/>
    <xf numFmtId="166" fontId="2" fillId="0" borderId="0" xfId="0" applyNumberFormat="1" applyFont="1"/>
    <xf numFmtId="166" fontId="2" fillId="0" borderId="0" xfId="3" applyNumberFormat="1" applyFont="1"/>
    <xf numFmtId="166" fontId="0" fillId="0" borderId="0" xfId="0" applyNumberFormat="1"/>
    <xf numFmtId="166" fontId="0" fillId="0" borderId="0" xfId="1" applyNumberFormat="1" applyFont="1"/>
    <xf numFmtId="9" fontId="0" fillId="0" borderId="0" xfId="4" applyFont="1"/>
    <xf numFmtId="2" fontId="3" fillId="2" borderId="0" xfId="4" applyNumberFormat="1" applyFont="1" applyFill="1" applyAlignment="1">
      <alignment horizontal="center"/>
    </xf>
    <xf numFmtId="2" fontId="0" fillId="0" borderId="0" xfId="4" applyNumberFormat="1" applyFont="1"/>
    <xf numFmtId="1" fontId="2" fillId="0" borderId="0" xfId="4" applyNumberFormat="1" applyFont="1"/>
    <xf numFmtId="0" fontId="9" fillId="0" borderId="0" xfId="0" applyFont="1"/>
    <xf numFmtId="2" fontId="0" fillId="4" borderId="0" xfId="0" applyNumberFormat="1" applyFill="1"/>
    <xf numFmtId="0" fontId="6" fillId="2" borderId="0" xfId="0" applyFont="1" applyFill="1" applyAlignment="1" applyProtection="1">
      <alignment vertical="center"/>
      <protection locked="0"/>
    </xf>
    <xf numFmtId="164" fontId="0" fillId="0" borderId="0" xfId="3" applyNumberFormat="1" applyFont="1"/>
    <xf numFmtId="164" fontId="2" fillId="0" borderId="1" xfId="3" applyNumberFormat="1" applyFont="1" applyBorder="1"/>
    <xf numFmtId="164" fontId="2" fillId="0" borderId="0" xfId="3" applyNumberFormat="1" applyFont="1" applyFill="1" applyBorder="1"/>
    <xf numFmtId="164" fontId="2" fillId="0" borderId="0" xfId="3" applyNumberFormat="1" applyFont="1" applyBorder="1"/>
    <xf numFmtId="164" fontId="2" fillId="0" borderId="0" xfId="3" applyNumberFormat="1" applyFont="1"/>
    <xf numFmtId="164" fontId="0" fillId="0" borderId="0" xfId="0" applyNumberFormat="1" applyAlignment="1">
      <alignment horizontal="left" indent="1"/>
    </xf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2" xfId="3" applyNumberFormat="1" applyFont="1" applyBorder="1"/>
    <xf numFmtId="164" fontId="2" fillId="0" borderId="3" xfId="0" applyNumberFormat="1" applyFont="1" applyBorder="1" applyAlignment="1">
      <alignment horizontal="left"/>
    </xf>
    <xf numFmtId="164" fontId="0" fillId="0" borderId="3" xfId="3" applyNumberFormat="1" applyFont="1" applyBorder="1"/>
    <xf numFmtId="164" fontId="2" fillId="0" borderId="0" xfId="0" applyNumberFormat="1" applyFont="1" applyAlignment="1">
      <alignment horizontal="left" indent="1"/>
    </xf>
    <xf numFmtId="164" fontId="0" fillId="0" borderId="0" xfId="0" applyNumberFormat="1" applyAlignment="1">
      <alignment horizontal="left" indent="2"/>
    </xf>
    <xf numFmtId="2" fontId="0" fillId="0" borderId="0" xfId="0" applyNumberFormat="1"/>
    <xf numFmtId="164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0" borderId="0" xfId="4" applyNumberFormat="1" applyFont="1" applyAlignment="1">
      <alignment horizontal="center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 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baseColWidth="10" defaultColWidth="8.83203125" defaultRowHeight="15"/>
  <cols>
    <col min="1" max="1" width="157.83203125" style="2" customWidth="1"/>
  </cols>
  <sheetData>
    <row r="1" spans="1:1" ht="25">
      <c r="A1" s="3" t="s">
        <v>0</v>
      </c>
    </row>
    <row r="3" spans="1:1" ht="16">
      <c r="A3" s="2" t="s">
        <v>61</v>
      </c>
    </row>
    <row r="4" spans="1:1" ht="16">
      <c r="A4" s="5" t="s">
        <v>5</v>
      </c>
    </row>
    <row r="5" spans="1:1" ht="16">
      <c r="A5" s="6" t="s">
        <v>1</v>
      </c>
    </row>
    <row r="7" spans="1:1" ht="16">
      <c r="A7" s="2" t="s">
        <v>59</v>
      </c>
    </row>
    <row r="8" spans="1:1" ht="16">
      <c r="A8" s="2" t="s">
        <v>60</v>
      </c>
    </row>
    <row r="9" spans="1:1" ht="16">
      <c r="A9" s="2" t="s">
        <v>2</v>
      </c>
    </row>
    <row r="10" spans="1:1" ht="16">
      <c r="A10" s="2" t="s">
        <v>6</v>
      </c>
    </row>
    <row r="11" spans="1:1" ht="16">
      <c r="A11" s="2" t="s">
        <v>4</v>
      </c>
    </row>
    <row r="13" spans="1:1" ht="16">
      <c r="A13" s="4" t="s">
        <v>3</v>
      </c>
    </row>
    <row r="14" spans="1:1" ht="16">
      <c r="A14" s="2" t="s">
        <v>7</v>
      </c>
    </row>
    <row r="15" spans="1:1" ht="16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Z117"/>
  <sheetViews>
    <sheetView topLeftCell="A47" workbookViewId="0">
      <pane xSplit="1" topLeftCell="B1" activePane="topRight" state="frozen"/>
      <selection pane="topRight" activeCell="E59" sqref="E59"/>
    </sheetView>
  </sheetViews>
  <sheetFormatPr baseColWidth="10" defaultColWidth="8.83203125" defaultRowHeight="15"/>
  <cols>
    <col min="1" max="1" width="45.5" customWidth="1"/>
    <col min="2" max="3" width="11.5" bestFit="1" customWidth="1"/>
    <col min="4" max="4" width="11.6640625" style="39" bestFit="1" customWidth="1"/>
    <col min="5" max="5" width="11.6640625" style="36" bestFit="1" customWidth="1"/>
    <col min="6" max="8" width="12.1640625" bestFit="1" customWidth="1"/>
    <col min="10" max="10" width="18.6640625" customWidth="1"/>
  </cols>
  <sheetData>
    <row r="1" spans="1:10" ht="60" customHeight="1">
      <c r="A1" s="47" t="s">
        <v>125</v>
      </c>
      <c r="B1" s="8" t="s">
        <v>236</v>
      </c>
      <c r="C1" s="8"/>
      <c r="D1" s="34"/>
      <c r="E1" s="35"/>
      <c r="F1" s="8"/>
      <c r="G1" s="8"/>
      <c r="H1" s="8"/>
      <c r="I1" s="8"/>
      <c r="J1" s="8"/>
    </row>
    <row r="2" spans="1:10">
      <c r="A2" s="63" t="s">
        <v>9</v>
      </c>
      <c r="B2" s="63"/>
      <c r="C2" s="63"/>
      <c r="D2" s="63"/>
    </row>
    <row r="3" spans="1:10">
      <c r="B3" s="64" t="s">
        <v>150</v>
      </c>
      <c r="C3" s="64"/>
      <c r="D3" s="64"/>
      <c r="E3" s="64"/>
    </row>
    <row r="4" spans="1:10">
      <c r="B4" s="9">
        <v>2019</v>
      </c>
      <c r="C4" s="9">
        <v>2020</v>
      </c>
      <c r="D4" s="37">
        <v>2021</v>
      </c>
      <c r="E4" s="38">
        <v>2022</v>
      </c>
    </row>
    <row r="5" spans="1:10">
      <c r="A5" t="s">
        <v>62</v>
      </c>
    </row>
    <row r="6" spans="1:10">
      <c r="A6" s="1" t="s">
        <v>63</v>
      </c>
      <c r="B6" s="10">
        <v>160408</v>
      </c>
      <c r="C6" s="10">
        <v>215915</v>
      </c>
      <c r="D6" s="10">
        <v>241787</v>
      </c>
      <c r="E6" s="48">
        <v>242901</v>
      </c>
      <c r="J6" s="28" t="s">
        <v>126</v>
      </c>
    </row>
    <row r="7" spans="1:10">
      <c r="A7" s="1" t="s">
        <v>64</v>
      </c>
      <c r="B7" s="10">
        <v>120114</v>
      </c>
      <c r="C7" s="10">
        <v>170149</v>
      </c>
      <c r="D7" s="10">
        <v>228035</v>
      </c>
      <c r="E7" s="48">
        <v>271082</v>
      </c>
    </row>
    <row r="8" spans="1:10">
      <c r="A8" s="11" t="s">
        <v>65</v>
      </c>
      <c r="B8" s="12">
        <f>B6+B7</f>
        <v>280522</v>
      </c>
      <c r="C8" s="12">
        <f t="shared" ref="C8:E8" si="0">C6+C7</f>
        <v>386064</v>
      </c>
      <c r="D8" s="12">
        <f t="shared" si="0"/>
        <v>469822</v>
      </c>
      <c r="E8" s="49">
        <f t="shared" si="0"/>
        <v>513983</v>
      </c>
      <c r="F8" s="12"/>
      <c r="J8" s="29">
        <v>280522</v>
      </c>
    </row>
    <row r="9" spans="1:10">
      <c r="A9" t="s">
        <v>66</v>
      </c>
      <c r="C9" s="31"/>
      <c r="D9" s="31"/>
      <c r="E9" s="48"/>
    </row>
    <row r="10" spans="1:10">
      <c r="A10" s="1" t="s">
        <v>63</v>
      </c>
      <c r="B10" s="10"/>
      <c r="C10" s="10"/>
      <c r="D10" s="10"/>
      <c r="E10" s="48"/>
      <c r="J10" s="28" t="s">
        <v>127</v>
      </c>
    </row>
    <row r="11" spans="1:10">
      <c r="A11" s="1" t="s">
        <v>64</v>
      </c>
      <c r="B11" s="10"/>
      <c r="C11" s="10"/>
      <c r="D11" s="10"/>
      <c r="E11" s="48"/>
    </row>
    <row r="12" spans="1:10">
      <c r="A12" s="11" t="s">
        <v>67</v>
      </c>
      <c r="B12" s="30">
        <v>165536</v>
      </c>
      <c r="C12" s="30">
        <v>233307</v>
      </c>
      <c r="D12" s="30">
        <v>272344</v>
      </c>
      <c r="E12" s="50">
        <v>288831</v>
      </c>
      <c r="J12" s="28" t="s">
        <v>128</v>
      </c>
    </row>
    <row r="13" spans="1:10">
      <c r="A13" s="11" t="s">
        <v>10</v>
      </c>
      <c r="B13" s="12">
        <f>B8-B12</f>
        <v>114986</v>
      </c>
      <c r="C13" s="12">
        <f t="shared" ref="C13:D13" si="1">C8-C12</f>
        <v>152757</v>
      </c>
      <c r="D13" s="12">
        <f t="shared" si="1"/>
        <v>197478</v>
      </c>
      <c r="E13" s="48">
        <f>E8-E12</f>
        <v>225152</v>
      </c>
    </row>
    <row r="14" spans="1:10">
      <c r="A14" t="s">
        <v>68</v>
      </c>
      <c r="B14" s="10"/>
      <c r="C14" s="10"/>
      <c r="D14" s="10"/>
      <c r="E14" s="48"/>
      <c r="J14" s="29">
        <v>265981</v>
      </c>
    </row>
    <row r="15" spans="1:10">
      <c r="A15" s="1" t="s">
        <v>69</v>
      </c>
      <c r="B15" s="10">
        <f>B17-B16-B13</f>
        <v>105560</v>
      </c>
      <c r="C15" s="10">
        <f t="shared" ref="C15:E15" si="2">C17-C16-C13</f>
        <v>145223</v>
      </c>
      <c r="D15" s="10">
        <f t="shared" si="2"/>
        <v>163531</v>
      </c>
      <c r="E15" s="48">
        <f t="shared" si="2"/>
        <v>180393</v>
      </c>
    </row>
    <row r="16" spans="1:10">
      <c r="A16" s="1" t="s">
        <v>70</v>
      </c>
      <c r="B16" s="10">
        <v>45435</v>
      </c>
      <c r="C16" s="10">
        <v>65185</v>
      </c>
      <c r="D16" s="10">
        <v>83934</v>
      </c>
      <c r="E16" s="48">
        <v>96190</v>
      </c>
      <c r="J16" s="28" t="s">
        <v>129</v>
      </c>
    </row>
    <row r="17" spans="1:260">
      <c r="A17" s="11" t="s">
        <v>71</v>
      </c>
      <c r="B17" s="12">
        <v>265981</v>
      </c>
      <c r="C17" s="12">
        <v>363165</v>
      </c>
      <c r="D17" s="12">
        <v>444943</v>
      </c>
      <c r="E17" s="50">
        <v>501735</v>
      </c>
    </row>
    <row r="18" spans="1:260" s="11" customFormat="1">
      <c r="A18" s="11" t="s">
        <v>72</v>
      </c>
      <c r="B18" s="32">
        <f t="shared" ref="B18:D18" si="3">B8-B17</f>
        <v>14541</v>
      </c>
      <c r="C18" s="32">
        <f t="shared" si="3"/>
        <v>22899</v>
      </c>
      <c r="D18" s="32">
        <f t="shared" si="3"/>
        <v>24879</v>
      </c>
      <c r="E18" s="51">
        <f>E8-E17</f>
        <v>12248</v>
      </c>
      <c r="F18" s="9"/>
      <c r="G18" s="9"/>
      <c r="H18" s="9"/>
      <c r="I18" s="9"/>
      <c r="J18" s="28" t="s">
        <v>130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</row>
    <row r="19" spans="1:260">
      <c r="A19" t="s">
        <v>73</v>
      </c>
      <c r="B19" s="10">
        <v>203</v>
      </c>
      <c r="C19" s="10">
        <v>2371</v>
      </c>
      <c r="D19" s="10">
        <v>14633</v>
      </c>
      <c r="E19" s="48">
        <v>-16806</v>
      </c>
    </row>
    <row r="20" spans="1:260">
      <c r="A20" s="11" t="s">
        <v>74</v>
      </c>
      <c r="B20" s="12">
        <v>13976</v>
      </c>
      <c r="C20" s="12">
        <v>24178</v>
      </c>
      <c r="D20" s="12">
        <v>38151</v>
      </c>
      <c r="E20" s="48">
        <v>-5936</v>
      </c>
      <c r="J20" s="28">
        <v>-565</v>
      </c>
    </row>
    <row r="21" spans="1:260">
      <c r="A21" t="s">
        <v>75</v>
      </c>
      <c r="B21" s="10">
        <v>-2374</v>
      </c>
      <c r="C21" s="10">
        <v>-2863</v>
      </c>
      <c r="D21" s="10">
        <v>-4791</v>
      </c>
      <c r="E21" s="48">
        <v>3217</v>
      </c>
    </row>
    <row r="22" spans="1:260">
      <c r="A22" s="28" t="s">
        <v>151</v>
      </c>
      <c r="B22" s="10">
        <v>-14</v>
      </c>
      <c r="C22" s="10">
        <v>16</v>
      </c>
      <c r="D22" s="10">
        <v>4</v>
      </c>
      <c r="E22" s="48">
        <v>-3</v>
      </c>
    </row>
    <row r="23" spans="1:260" s="9" customFormat="1" ht="16" thickBot="1">
      <c r="A23" s="13" t="s">
        <v>76</v>
      </c>
      <c r="B23" s="32">
        <f t="shared" ref="B23:D23" si="4">SUM(B20:B22)</f>
        <v>11588</v>
      </c>
      <c r="C23" s="32">
        <f t="shared" si="4"/>
        <v>21331</v>
      </c>
      <c r="D23" s="32">
        <f t="shared" si="4"/>
        <v>33364</v>
      </c>
      <c r="E23" s="52">
        <f>SUM(E20:E22)</f>
        <v>-2722</v>
      </c>
      <c r="J23" s="45" t="s">
        <v>131</v>
      </c>
    </row>
    <row r="24" spans="1:260" ht="16" thickTop="1">
      <c r="A24" t="s">
        <v>77</v>
      </c>
    </row>
    <row r="25" spans="1:260">
      <c r="A25" s="1" t="s">
        <v>78</v>
      </c>
      <c r="B25" s="15"/>
      <c r="C25" s="46">
        <v>2.13</v>
      </c>
      <c r="D25" s="46">
        <v>3.3</v>
      </c>
      <c r="E25" s="33">
        <v>-0.27</v>
      </c>
      <c r="J25" s="28" t="s">
        <v>132</v>
      </c>
    </row>
    <row r="26" spans="1:260">
      <c r="A26" s="1" t="s">
        <v>79</v>
      </c>
      <c r="B26" s="15"/>
      <c r="C26" s="46">
        <v>2.09</v>
      </c>
      <c r="D26" s="46">
        <v>3.24</v>
      </c>
      <c r="E26" s="33">
        <v>-0.27</v>
      </c>
    </row>
    <row r="27" spans="1:260">
      <c r="A27" t="s">
        <v>80</v>
      </c>
      <c r="F27" t="s">
        <v>237</v>
      </c>
      <c r="J27" s="28" t="s">
        <v>133</v>
      </c>
    </row>
    <row r="28" spans="1:260">
      <c r="A28" s="1" t="s">
        <v>78</v>
      </c>
      <c r="B28" s="16"/>
      <c r="C28" s="16">
        <v>10005</v>
      </c>
      <c r="D28" s="39">
        <v>10117</v>
      </c>
      <c r="E28" s="36">
        <v>10189</v>
      </c>
      <c r="F28">
        <v>10005000000</v>
      </c>
      <c r="G28">
        <v>10117000000</v>
      </c>
      <c r="H28">
        <v>10189000000</v>
      </c>
    </row>
    <row r="29" spans="1:260">
      <c r="A29" s="1" t="s">
        <v>79</v>
      </c>
      <c r="B29" s="16"/>
      <c r="C29" s="16">
        <v>10198</v>
      </c>
      <c r="D29" s="39">
        <v>10296</v>
      </c>
      <c r="E29" s="36">
        <v>10189</v>
      </c>
      <c r="F29">
        <v>10198000000</v>
      </c>
      <c r="G29">
        <v>10296000000</v>
      </c>
      <c r="H29">
        <v>10189000000</v>
      </c>
      <c r="J29" s="28" t="s">
        <v>134</v>
      </c>
    </row>
    <row r="31" spans="1:260">
      <c r="J31" s="28" t="s">
        <v>135</v>
      </c>
    </row>
    <row r="32" spans="1:260">
      <c r="A32" s="63" t="s">
        <v>11</v>
      </c>
      <c r="B32" s="63"/>
      <c r="C32" s="63"/>
      <c r="D32" s="63"/>
    </row>
    <row r="33" spans="1:10">
      <c r="B33" s="64" t="s">
        <v>56</v>
      </c>
      <c r="C33" s="64"/>
      <c r="D33" s="64"/>
      <c r="J33" s="29">
        <v>386064</v>
      </c>
    </row>
    <row r="34" spans="1:10">
      <c r="B34" s="9">
        <v>2019</v>
      </c>
      <c r="C34" s="9">
        <v>2020</v>
      </c>
      <c r="D34" s="37">
        <v>2021</v>
      </c>
      <c r="E34" s="38">
        <v>2022</v>
      </c>
    </row>
    <row r="35" spans="1:10">
      <c r="J35" s="28" t="s">
        <v>136</v>
      </c>
    </row>
    <row r="36" spans="1:10">
      <c r="A36" t="s">
        <v>81</v>
      </c>
    </row>
    <row r="37" spans="1:10">
      <c r="A37" s="53" t="s">
        <v>82</v>
      </c>
      <c r="B37" s="10"/>
      <c r="C37" s="10">
        <v>42122</v>
      </c>
      <c r="D37" s="10">
        <f>Sheet1!F68</f>
        <v>36220</v>
      </c>
      <c r="E37" s="48" cm="1">
        <f t="array" ref="E37:E40">Sheet1!H68:H71</f>
        <v>53888</v>
      </c>
      <c r="J37" s="28" t="s">
        <v>137</v>
      </c>
    </row>
    <row r="38" spans="1:10">
      <c r="A38" s="53" t="s">
        <v>83</v>
      </c>
      <c r="B38" s="10"/>
      <c r="C38" s="10">
        <v>42274</v>
      </c>
      <c r="D38" s="10">
        <f>Sheet1!F69</f>
        <v>59829</v>
      </c>
      <c r="E38" s="48">
        <v>16138</v>
      </c>
    </row>
    <row r="39" spans="1:10">
      <c r="A39" s="53" t="s">
        <v>85</v>
      </c>
      <c r="B39" s="10"/>
      <c r="C39" s="10">
        <v>23795</v>
      </c>
      <c r="D39" s="10">
        <f>Sheet1!F70</f>
        <v>32640</v>
      </c>
      <c r="E39" s="48">
        <v>34405</v>
      </c>
      <c r="J39" s="29">
        <v>363165</v>
      </c>
    </row>
    <row r="40" spans="1:10">
      <c r="A40" s="53" t="s">
        <v>152</v>
      </c>
      <c r="B40" s="10"/>
      <c r="C40" s="10">
        <v>24542</v>
      </c>
      <c r="D40" s="10">
        <f>Sheet1!F71</f>
        <v>32891</v>
      </c>
      <c r="E40" s="48">
        <v>42360</v>
      </c>
    </row>
    <row r="41" spans="1:10">
      <c r="A41" s="54" t="s">
        <v>86</v>
      </c>
      <c r="B41" s="12"/>
      <c r="C41" s="12">
        <f>SUM(C37:C40)</f>
        <v>132733</v>
      </c>
      <c r="D41" s="12">
        <f t="shared" ref="D41:E41" si="5">SUM(D37:D40)</f>
        <v>161580</v>
      </c>
      <c r="E41" s="49">
        <f t="shared" si="5"/>
        <v>146791</v>
      </c>
      <c r="J41" s="28" t="s">
        <v>138</v>
      </c>
    </row>
    <row r="42" spans="1:10">
      <c r="A42" s="31" t="s">
        <v>87</v>
      </c>
      <c r="B42" s="10"/>
      <c r="C42" s="10"/>
      <c r="D42" s="10"/>
      <c r="E42" s="48"/>
    </row>
    <row r="43" spans="1:10">
      <c r="A43" s="53" t="s">
        <v>88</v>
      </c>
      <c r="B43" s="10"/>
      <c r="C43" s="10">
        <v>113114</v>
      </c>
      <c r="D43" s="10">
        <f>Sheet1!F73</f>
        <v>160281</v>
      </c>
      <c r="E43" s="48">
        <f>Sheet1!H73</f>
        <v>186715</v>
      </c>
      <c r="J43" s="29">
        <v>1279</v>
      </c>
    </row>
    <row r="44" spans="1:10">
      <c r="A44" s="53" t="s">
        <v>219</v>
      </c>
      <c r="B44" s="10"/>
      <c r="C44" s="10">
        <v>37553</v>
      </c>
      <c r="D44" s="10">
        <f>Sheet1!F74</f>
        <v>56082</v>
      </c>
      <c r="E44" s="48">
        <f>Sheet1!H74</f>
        <v>66123</v>
      </c>
    </row>
    <row r="45" spans="1:10">
      <c r="A45" s="53" t="s">
        <v>220</v>
      </c>
      <c r="B45" s="10"/>
      <c r="C45" s="10">
        <v>15017</v>
      </c>
      <c r="D45" s="10">
        <f>Sheet1!F75</f>
        <v>15371</v>
      </c>
      <c r="E45" s="48">
        <f>Sheet1!H75</f>
        <v>20288</v>
      </c>
    </row>
    <row r="46" spans="1:10">
      <c r="A46" s="53" t="s">
        <v>89</v>
      </c>
      <c r="B46" s="10"/>
      <c r="C46" s="10">
        <v>22778</v>
      </c>
      <c r="D46" s="10">
        <f>Sheet1!F76</f>
        <v>27235</v>
      </c>
      <c r="E46" s="48">
        <f>Sheet1!H76</f>
        <v>42758</v>
      </c>
      <c r="J46" s="28" t="s">
        <v>139</v>
      </c>
    </row>
    <row r="47" spans="1:10">
      <c r="A47" s="54" t="s">
        <v>90</v>
      </c>
      <c r="B47" s="12"/>
      <c r="C47" s="12">
        <f>SUM(C43:C46)</f>
        <v>188462</v>
      </c>
      <c r="D47" s="12">
        <f>SUM(D43:D46)</f>
        <v>258969</v>
      </c>
      <c r="E47" s="49">
        <f>SUM(E43:E46)</f>
        <v>315884</v>
      </c>
    </row>
    <row r="48" spans="1:10" ht="16" thickBot="1">
      <c r="A48" s="55" t="s">
        <v>91</v>
      </c>
      <c r="B48" s="14"/>
      <c r="C48" s="14">
        <f>C41+C47</f>
        <v>321195</v>
      </c>
      <c r="D48" s="14">
        <f>D41+D47</f>
        <v>420549</v>
      </c>
      <c r="E48" s="56">
        <f>E41+E47</f>
        <v>462675</v>
      </c>
      <c r="J48" s="28">
        <v>16</v>
      </c>
    </row>
    <row r="49" spans="1:10" ht="16" thickTop="1">
      <c r="A49" s="31"/>
      <c r="B49" s="31"/>
      <c r="C49" s="31"/>
      <c r="D49" s="31"/>
      <c r="E49" s="48"/>
    </row>
    <row r="50" spans="1:10">
      <c r="A50" s="31" t="s">
        <v>92</v>
      </c>
      <c r="B50" s="31"/>
      <c r="C50" s="31"/>
      <c r="D50" s="31"/>
      <c r="E50" s="48"/>
      <c r="J50" s="28" t="s">
        <v>140</v>
      </c>
    </row>
    <row r="51" spans="1:10">
      <c r="A51" s="53" t="s">
        <v>93</v>
      </c>
      <c r="B51" s="10"/>
      <c r="C51" s="10">
        <v>72539</v>
      </c>
      <c r="D51" s="10">
        <f>Sheet1!E80</f>
        <v>78664</v>
      </c>
      <c r="E51" s="48">
        <f>Sheet1!G80</f>
        <v>79600</v>
      </c>
    </row>
    <row r="52" spans="1:10">
      <c r="A52" s="53" t="s">
        <v>94</v>
      </c>
      <c r="B52" s="10"/>
      <c r="C52" s="10">
        <v>44138</v>
      </c>
      <c r="D52" s="10">
        <f>Sheet1!E81</f>
        <v>51775</v>
      </c>
      <c r="E52" s="48">
        <f>Sheet1!G81</f>
        <v>62566</v>
      </c>
      <c r="J52" s="28" t="s">
        <v>141</v>
      </c>
    </row>
    <row r="53" spans="1:10">
      <c r="A53" s="53" t="s">
        <v>95</v>
      </c>
      <c r="B53" s="10"/>
      <c r="C53" s="10">
        <v>9708</v>
      </c>
      <c r="D53" s="10">
        <f>Sheet1!E82</f>
        <v>11827</v>
      </c>
      <c r="E53" s="48">
        <f>Sheet1!G82</f>
        <v>13227</v>
      </c>
    </row>
    <row r="54" spans="1:10">
      <c r="A54" s="54" t="s">
        <v>96</v>
      </c>
      <c r="B54" s="12"/>
      <c r="C54" s="12">
        <f>SUM(C51:C53)</f>
        <v>126385</v>
      </c>
      <c r="D54" s="12">
        <f>SUM(D51:D53)</f>
        <v>142266</v>
      </c>
      <c r="E54" s="49">
        <f>SUM(E51:E53)</f>
        <v>155393</v>
      </c>
      <c r="J54" s="28" t="s">
        <v>142</v>
      </c>
    </row>
    <row r="55" spans="1:10">
      <c r="A55" s="31" t="s">
        <v>97</v>
      </c>
      <c r="B55" s="10"/>
      <c r="C55" s="10"/>
      <c r="D55" s="10"/>
      <c r="E55" s="48"/>
    </row>
    <row r="56" spans="1:10">
      <c r="A56" s="31" t="s">
        <v>210</v>
      </c>
      <c r="B56" s="10"/>
      <c r="C56" s="10">
        <v>52573</v>
      </c>
      <c r="D56" s="10">
        <f>Sheet1!E84</f>
        <v>67651</v>
      </c>
      <c r="E56" s="48">
        <f>Sheet1!G84</f>
        <v>72968</v>
      </c>
      <c r="J56" s="29">
        <v>469822</v>
      </c>
    </row>
    <row r="57" spans="1:10">
      <c r="A57" s="31" t="s">
        <v>211</v>
      </c>
      <c r="B57" s="10"/>
      <c r="C57" s="10">
        <v>31816</v>
      </c>
      <c r="D57" s="10">
        <f>Sheet1!E85</f>
        <v>48744</v>
      </c>
      <c r="E57" s="48">
        <f>Sheet1!G85</f>
        <v>67150</v>
      </c>
    </row>
    <row r="58" spans="1:10">
      <c r="A58" s="31" t="s">
        <v>212</v>
      </c>
      <c r="B58" s="10"/>
      <c r="C58" s="10">
        <v>17017</v>
      </c>
      <c r="D58" s="10">
        <f>Sheet1!E86</f>
        <v>23643</v>
      </c>
      <c r="E58" s="48">
        <f>Sheet1!G86</f>
        <v>21121</v>
      </c>
      <c r="J58" s="28" t="s">
        <v>143</v>
      </c>
    </row>
    <row r="59" spans="1:10">
      <c r="A59" s="57" t="s">
        <v>98</v>
      </c>
      <c r="B59" s="23"/>
      <c r="C59" s="23">
        <f>SUM(C56:C58)</f>
        <v>101406</v>
      </c>
      <c r="D59" s="23">
        <f>SUM(D56:D58)</f>
        <v>140038</v>
      </c>
      <c r="E59" s="58">
        <f>SUM(E56:E58)</f>
        <v>161239</v>
      </c>
    </row>
    <row r="60" spans="1:10">
      <c r="A60" s="54" t="s">
        <v>99</v>
      </c>
      <c r="B60" s="12"/>
      <c r="C60" s="12">
        <f>C54+C59</f>
        <v>227791</v>
      </c>
      <c r="D60" s="12">
        <f>D54+D59</f>
        <v>282304</v>
      </c>
      <c r="E60" s="49">
        <f>E54+E59</f>
        <v>316632</v>
      </c>
      <c r="J60" s="28" t="s">
        <v>144</v>
      </c>
    </row>
    <row r="61" spans="1:10">
      <c r="A61" s="31"/>
      <c r="B61" s="10"/>
      <c r="C61" s="10"/>
      <c r="D61" s="10"/>
      <c r="E61" s="48"/>
    </row>
    <row r="62" spans="1:10">
      <c r="A62" s="31" t="s">
        <v>100</v>
      </c>
      <c r="B62" s="10"/>
      <c r="C62" s="10"/>
      <c r="D62" s="10"/>
      <c r="E62" s="48"/>
      <c r="J62" s="29">
        <v>444943</v>
      </c>
    </row>
    <row r="63" spans="1:10">
      <c r="A63" s="31" t="s">
        <v>222</v>
      </c>
      <c r="B63" s="10" t="s">
        <v>221</v>
      </c>
      <c r="C63" s="10">
        <v>5</v>
      </c>
      <c r="D63" s="10">
        <v>106</v>
      </c>
      <c r="E63" s="48">
        <v>108</v>
      </c>
    </row>
    <row r="64" spans="1:10">
      <c r="A64" s="31" t="s">
        <v>214</v>
      </c>
      <c r="B64" s="10"/>
      <c r="C64" s="10">
        <v>-1837</v>
      </c>
      <c r="D64" s="10">
        <f>Sheet1!E88</f>
        <v>-1837</v>
      </c>
      <c r="E64" s="48">
        <f>Sheet1!G88</f>
        <v>-7837</v>
      </c>
    </row>
    <row r="65" spans="1:10">
      <c r="A65" s="31" t="s">
        <v>215</v>
      </c>
      <c r="B65" s="10"/>
      <c r="C65" s="10">
        <v>42865</v>
      </c>
      <c r="D65" s="10">
        <f>Sheet1!E89</f>
        <v>55437</v>
      </c>
      <c r="E65" s="48">
        <f>Sheet1!G89</f>
        <v>75066</v>
      </c>
    </row>
    <row r="66" spans="1:10">
      <c r="A66" s="53" t="s">
        <v>101</v>
      </c>
      <c r="B66" s="10"/>
      <c r="C66" s="10">
        <v>52551</v>
      </c>
      <c r="D66" s="10">
        <f>Sheet1!E91</f>
        <v>85915</v>
      </c>
      <c r="E66" s="48">
        <f>Sheet1!G91</f>
        <v>83193</v>
      </c>
      <c r="J66" s="28" t="s">
        <v>145</v>
      </c>
    </row>
    <row r="67" spans="1:10">
      <c r="A67" s="53" t="s">
        <v>102</v>
      </c>
      <c r="B67" s="10"/>
      <c r="C67" s="10">
        <v>-180</v>
      </c>
      <c r="D67" s="10">
        <f>Sheet1!E90</f>
        <v>-1376</v>
      </c>
      <c r="E67" s="48">
        <f>Sheet1!G90</f>
        <v>-4487</v>
      </c>
    </row>
    <row r="68" spans="1:10">
      <c r="A68" s="54" t="s">
        <v>103</v>
      </c>
      <c r="B68" s="12"/>
      <c r="C68" s="12">
        <v>93404</v>
      </c>
      <c r="D68" s="12">
        <f>Sheet1!E92</f>
        <v>138245</v>
      </c>
      <c r="E68" s="52">
        <f>Sheet1!G92</f>
        <v>146043</v>
      </c>
      <c r="J68" s="28" t="s">
        <v>146</v>
      </c>
    </row>
    <row r="69" spans="1:10" ht="16" thickBot="1">
      <c r="A69" s="55" t="s">
        <v>104</v>
      </c>
      <c r="B69" s="14"/>
      <c r="C69" s="14">
        <v>321195</v>
      </c>
      <c r="D69" s="14">
        <f>Sheet1!E93</f>
        <v>420549</v>
      </c>
      <c r="E69" s="56">
        <f>Sheet1!G93</f>
        <v>462675</v>
      </c>
    </row>
    <row r="70" spans="1:10" ht="16" thickTop="1">
      <c r="A70" s="31"/>
      <c r="B70" s="31"/>
      <c r="C70" s="31"/>
      <c r="D70" s="31"/>
      <c r="E70" s="48"/>
      <c r="J70" s="29">
        <v>13272</v>
      </c>
    </row>
    <row r="71" spans="1:10">
      <c r="A71" s="65" t="s">
        <v>12</v>
      </c>
      <c r="B71" s="65"/>
      <c r="C71" s="65"/>
      <c r="D71" s="65"/>
      <c r="E71" s="48"/>
    </row>
    <row r="72" spans="1:10">
      <c r="A72" s="31"/>
      <c r="B72" s="62" t="s">
        <v>55</v>
      </c>
      <c r="C72" s="62"/>
      <c r="D72" s="62"/>
      <c r="E72" s="48"/>
      <c r="J72" s="28" t="s">
        <v>147</v>
      </c>
    </row>
    <row r="73" spans="1:10">
      <c r="A73" s="31"/>
      <c r="B73" s="32">
        <v>2019</v>
      </c>
      <c r="C73" s="32">
        <v>2020</v>
      </c>
      <c r="D73" s="32">
        <v>2021</v>
      </c>
      <c r="E73" s="52">
        <v>2022</v>
      </c>
    </row>
    <row r="74" spans="1:10">
      <c r="A74" s="31"/>
      <c r="B74" s="31"/>
      <c r="C74" s="31"/>
      <c r="D74" s="31"/>
      <c r="E74" s="48"/>
      <c r="J74" s="28">
        <v>4</v>
      </c>
    </row>
    <row r="75" spans="1:10">
      <c r="A75" s="32" t="s">
        <v>105</v>
      </c>
      <c r="B75" s="17"/>
      <c r="C75" s="17"/>
      <c r="D75" s="17"/>
      <c r="E75" s="48"/>
    </row>
    <row r="76" spans="1:10">
      <c r="A76" s="31" t="s">
        <v>106</v>
      </c>
      <c r="B76" s="10"/>
      <c r="C76" s="10">
        <v>36410</v>
      </c>
      <c r="D76" s="10">
        <v>42377</v>
      </c>
      <c r="E76" s="48">
        <v>36477</v>
      </c>
      <c r="J76" s="29">
        <v>33364</v>
      </c>
    </row>
    <row r="77" spans="1:10">
      <c r="A77" s="59" t="s">
        <v>76</v>
      </c>
      <c r="B77" s="17"/>
      <c r="C77" s="17">
        <v>21331</v>
      </c>
      <c r="D77" s="17">
        <v>33364</v>
      </c>
      <c r="E77" s="48">
        <v>-2722</v>
      </c>
    </row>
    <row r="78" spans="1:10">
      <c r="A78" s="53" t="s">
        <v>107</v>
      </c>
      <c r="B78" s="10"/>
      <c r="C78" s="10"/>
      <c r="D78" s="10"/>
      <c r="E78" s="48"/>
      <c r="J78" s="28" t="s">
        <v>148</v>
      </c>
    </row>
    <row r="79" spans="1:10">
      <c r="A79" s="60" t="s">
        <v>108</v>
      </c>
      <c r="B79" s="10"/>
      <c r="C79" s="10">
        <v>25180</v>
      </c>
      <c r="D79" s="10">
        <v>34433</v>
      </c>
      <c r="E79" s="48">
        <v>41921</v>
      </c>
    </row>
    <row r="80" spans="1:10">
      <c r="A80" s="60" t="s">
        <v>109</v>
      </c>
      <c r="B80" s="10"/>
      <c r="C80" s="10">
        <v>9208</v>
      </c>
      <c r="D80" s="10">
        <v>12757</v>
      </c>
      <c r="E80" s="48">
        <v>19621</v>
      </c>
      <c r="J80" s="28" t="s">
        <v>149</v>
      </c>
    </row>
    <row r="81" spans="1:5">
      <c r="A81" s="60" t="s">
        <v>110</v>
      </c>
      <c r="B81" s="10"/>
      <c r="C81" s="10">
        <v>-554</v>
      </c>
      <c r="D81" s="10">
        <v>-310</v>
      </c>
      <c r="E81" s="48">
        <v>-8148</v>
      </c>
    </row>
    <row r="82" spans="1:5">
      <c r="A82" s="60" t="s">
        <v>161</v>
      </c>
      <c r="B82" s="10"/>
      <c r="C82" s="10">
        <v>-2582</v>
      </c>
      <c r="D82" s="10">
        <v>-14306</v>
      </c>
      <c r="E82" s="48">
        <v>16966</v>
      </c>
    </row>
    <row r="83" spans="1:5">
      <c r="A83" s="31" t="s">
        <v>112</v>
      </c>
      <c r="B83" s="10"/>
      <c r="C83" s="10"/>
      <c r="D83" s="10"/>
      <c r="E83" s="48"/>
    </row>
    <row r="84" spans="1:5">
      <c r="A84" s="53" t="s">
        <v>84</v>
      </c>
      <c r="B84" s="10"/>
      <c r="C84" s="10">
        <v>-8169</v>
      </c>
      <c r="D84" s="10">
        <v>-18163</v>
      </c>
      <c r="E84" s="48">
        <v>-21897</v>
      </c>
    </row>
    <row r="85" spans="1:5">
      <c r="A85" s="53" t="s">
        <v>85</v>
      </c>
      <c r="B85" s="10"/>
      <c r="C85" s="10">
        <v>-2849</v>
      </c>
      <c r="D85" s="10">
        <v>-9487</v>
      </c>
      <c r="E85" s="48">
        <v>-2592</v>
      </c>
    </row>
    <row r="86" spans="1:5">
      <c r="A86" s="53" t="s">
        <v>223</v>
      </c>
      <c r="B86" s="10"/>
      <c r="C86" s="10">
        <v>5754</v>
      </c>
      <c r="D86" s="10">
        <v>2123</v>
      </c>
      <c r="E86" s="48">
        <v>-1558</v>
      </c>
    </row>
    <row r="87" spans="1:5">
      <c r="A87" s="53" t="s">
        <v>93</v>
      </c>
      <c r="B87" s="10"/>
      <c r="C87" s="10">
        <v>17480</v>
      </c>
      <c r="D87" s="10">
        <v>3602</v>
      </c>
      <c r="E87" s="48">
        <v>2945</v>
      </c>
    </row>
    <row r="88" spans="1:5">
      <c r="A88" s="53" t="s">
        <v>95</v>
      </c>
      <c r="B88" s="10"/>
      <c r="C88" s="10">
        <v>1265</v>
      </c>
      <c r="D88" s="10">
        <v>2314</v>
      </c>
      <c r="E88" s="48">
        <v>2216</v>
      </c>
    </row>
    <row r="89" spans="1:5">
      <c r="A89" s="53"/>
      <c r="B89" s="10"/>
      <c r="C89" s="10"/>
      <c r="D89" s="10"/>
      <c r="E89" s="48"/>
    </row>
    <row r="90" spans="1:5">
      <c r="A90" s="54" t="s">
        <v>113</v>
      </c>
      <c r="B90" s="12"/>
      <c r="C90" s="12">
        <v>66064</v>
      </c>
      <c r="D90" s="12">
        <v>46327</v>
      </c>
      <c r="E90" s="48">
        <v>46752</v>
      </c>
    </row>
    <row r="91" spans="1:5">
      <c r="A91" s="32" t="s">
        <v>114</v>
      </c>
      <c r="B91" s="10"/>
      <c r="C91" s="10"/>
      <c r="D91" s="10"/>
      <c r="E91" s="48"/>
    </row>
    <row r="92" spans="1:5">
      <c r="A92" s="53" t="s">
        <v>224</v>
      </c>
      <c r="B92" s="10"/>
      <c r="C92" s="10">
        <v>-40140</v>
      </c>
      <c r="D92" s="10">
        <v>-61053</v>
      </c>
      <c r="E92" s="48">
        <v>-63645</v>
      </c>
    </row>
    <row r="93" spans="1:5">
      <c r="A93" s="53" t="s">
        <v>225</v>
      </c>
      <c r="B93" s="10"/>
      <c r="C93" s="10">
        <v>5096</v>
      </c>
      <c r="D93" s="10">
        <v>5657</v>
      </c>
      <c r="E93" s="48">
        <v>5324</v>
      </c>
    </row>
    <row r="94" spans="1:5">
      <c r="A94" s="53" t="s">
        <v>226</v>
      </c>
      <c r="B94" s="10"/>
      <c r="C94" s="10">
        <v>-2325</v>
      </c>
      <c r="D94" s="10">
        <v>-1985</v>
      </c>
      <c r="E94" s="48">
        <v>-8316</v>
      </c>
    </row>
    <row r="95" spans="1:5">
      <c r="A95" s="53" t="s">
        <v>227</v>
      </c>
      <c r="B95" s="10"/>
      <c r="C95" s="10">
        <v>50237</v>
      </c>
      <c r="D95" s="10">
        <v>59384</v>
      </c>
      <c r="E95" s="48">
        <v>31601</v>
      </c>
    </row>
    <row r="96" spans="1:5">
      <c r="A96" s="53" t="s">
        <v>228</v>
      </c>
      <c r="B96" s="10"/>
      <c r="C96" s="10">
        <v>-72479</v>
      </c>
      <c r="D96" s="10">
        <v>-60157</v>
      </c>
      <c r="E96" s="48">
        <v>-2565</v>
      </c>
    </row>
    <row r="97" spans="1:5">
      <c r="A97" s="53" t="s">
        <v>111</v>
      </c>
      <c r="B97" s="10"/>
      <c r="C97" s="10"/>
      <c r="D97" s="10"/>
      <c r="E97" s="48"/>
    </row>
    <row r="98" spans="1:5">
      <c r="A98" s="54" t="s">
        <v>116</v>
      </c>
      <c r="B98" s="26"/>
      <c r="C98" s="26">
        <v>-59611</v>
      </c>
      <c r="D98" s="26">
        <v>-58154</v>
      </c>
      <c r="E98" s="48">
        <v>-37601</v>
      </c>
    </row>
    <row r="99" spans="1:5">
      <c r="A99" s="32" t="s">
        <v>117</v>
      </c>
      <c r="B99" s="25"/>
      <c r="C99" s="25"/>
      <c r="D99" s="25"/>
      <c r="E99" s="48"/>
    </row>
    <row r="100" spans="1:5">
      <c r="A100" s="53" t="s">
        <v>229</v>
      </c>
      <c r="B100" s="24"/>
      <c r="C100" s="24">
        <v>6796</v>
      </c>
      <c r="D100" s="24">
        <v>7956</v>
      </c>
      <c r="E100" s="48">
        <v>41553</v>
      </c>
    </row>
    <row r="101" spans="1:5">
      <c r="A101" s="53" t="s">
        <v>230</v>
      </c>
      <c r="B101" s="10"/>
      <c r="C101" s="10">
        <v>-6177</v>
      </c>
      <c r="D101" s="10">
        <v>-7753</v>
      </c>
      <c r="E101" s="48">
        <v>-37554</v>
      </c>
    </row>
    <row r="102" spans="1:5">
      <c r="A102" s="53" t="s">
        <v>118</v>
      </c>
      <c r="B102" s="10"/>
      <c r="C102" s="10">
        <v>0</v>
      </c>
      <c r="D102" s="10">
        <v>0</v>
      </c>
      <c r="E102" s="48">
        <v>-6000</v>
      </c>
    </row>
    <row r="103" spans="1:5">
      <c r="A103" s="53" t="s">
        <v>231</v>
      </c>
      <c r="B103" s="10"/>
      <c r="C103" s="10">
        <v>10525</v>
      </c>
      <c r="D103" s="10">
        <v>19003</v>
      </c>
      <c r="E103" s="48">
        <v>21166</v>
      </c>
    </row>
    <row r="104" spans="1:5">
      <c r="A104" s="53" t="s">
        <v>119</v>
      </c>
      <c r="B104" s="10"/>
      <c r="C104" s="10">
        <v>-1553</v>
      </c>
      <c r="D104" s="10">
        <v>-1590</v>
      </c>
      <c r="E104" s="48">
        <v>-1258</v>
      </c>
    </row>
    <row r="105" spans="1:5">
      <c r="A105" s="53" t="s">
        <v>232</v>
      </c>
      <c r="B105" s="10"/>
      <c r="C105" s="10">
        <v>-10642</v>
      </c>
      <c r="D105" s="10">
        <v>-11163</v>
      </c>
      <c r="E105" s="48">
        <v>-7941</v>
      </c>
    </row>
    <row r="106" spans="1:5">
      <c r="A106" s="53" t="s">
        <v>233</v>
      </c>
      <c r="B106" s="10"/>
      <c r="C106" s="10">
        <v>-53</v>
      </c>
      <c r="D106" s="10">
        <v>-162</v>
      </c>
      <c r="E106" s="48">
        <v>-248</v>
      </c>
    </row>
    <row r="107" spans="1:5">
      <c r="A107" s="54" t="s">
        <v>120</v>
      </c>
      <c r="B107" s="26"/>
      <c r="C107" s="26">
        <v>-1104</v>
      </c>
      <c r="D107" s="26">
        <v>6291</v>
      </c>
      <c r="E107" s="48">
        <v>9718</v>
      </c>
    </row>
    <row r="108" spans="1:5">
      <c r="A108" s="54" t="s">
        <v>234</v>
      </c>
      <c r="B108" s="26"/>
      <c r="C108" s="26">
        <v>618</v>
      </c>
      <c r="D108" s="26">
        <v>-364</v>
      </c>
      <c r="E108" s="48">
        <v>-1093</v>
      </c>
    </row>
    <row r="109" spans="1:5">
      <c r="A109" s="54" t="s">
        <v>121</v>
      </c>
      <c r="B109" s="26"/>
      <c r="C109" s="26">
        <v>5967</v>
      </c>
      <c r="D109" s="26">
        <v>-5900</v>
      </c>
      <c r="E109" s="48">
        <v>17776</v>
      </c>
    </row>
    <row r="110" spans="1:5" ht="16" thickBot="1">
      <c r="A110" s="55" t="s">
        <v>122</v>
      </c>
      <c r="B110" s="27"/>
      <c r="C110" s="27">
        <v>42377</v>
      </c>
      <c r="D110" s="27">
        <v>36477</v>
      </c>
      <c r="E110" s="48">
        <v>54253</v>
      </c>
    </row>
    <row r="111" spans="1:5" ht="16" thickTop="1">
      <c r="A111" s="31"/>
      <c r="B111" s="24"/>
      <c r="C111" s="24"/>
      <c r="D111" s="24"/>
      <c r="E111" s="48"/>
    </row>
    <row r="112" spans="1:5">
      <c r="A112" s="31" t="s">
        <v>123</v>
      </c>
      <c r="B112" s="24"/>
      <c r="C112" s="24"/>
      <c r="D112" s="24"/>
      <c r="E112" s="48"/>
    </row>
    <row r="113" spans="1:5">
      <c r="A113" s="31" t="s">
        <v>124</v>
      </c>
      <c r="B113" s="24"/>
      <c r="C113" s="24">
        <v>4475</v>
      </c>
      <c r="D113" s="24">
        <v>6722</v>
      </c>
      <c r="E113" s="48">
        <v>8633</v>
      </c>
    </row>
    <row r="114" spans="1:5">
      <c r="A114" s="31" t="s">
        <v>235</v>
      </c>
      <c r="B114" s="25"/>
      <c r="C114" s="25">
        <f>916+612+102</f>
        <v>1630</v>
      </c>
      <c r="D114" s="25">
        <f>1098+521+153</f>
        <v>1772</v>
      </c>
      <c r="E114" s="48">
        <f>1561+374+207</f>
        <v>2142</v>
      </c>
    </row>
    <row r="115" spans="1:5">
      <c r="B115" s="10"/>
      <c r="C115" s="10"/>
      <c r="D115" s="40"/>
    </row>
    <row r="116" spans="1:5">
      <c r="B116" s="10"/>
      <c r="C116" s="10"/>
      <c r="D116" s="40"/>
    </row>
    <row r="117" spans="1:5">
      <c r="B117" s="10"/>
      <c r="C117" s="10"/>
      <c r="D117" s="40"/>
    </row>
  </sheetData>
  <mergeCells count="6">
    <mergeCell ref="B72:D72"/>
    <mergeCell ref="A2:D2"/>
    <mergeCell ref="A32:D32"/>
    <mergeCell ref="B33:D33"/>
    <mergeCell ref="A71:D71"/>
    <mergeCell ref="B3:E3"/>
  </mergeCells>
  <pageMargins left="0.7" right="0.7" top="0.75" bottom="0.75" header="0.3" footer="0.3"/>
  <ignoredErrors>
    <ignoredError sqref="B23:E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24" workbookViewId="0">
      <selection activeCell="E30" sqref="E30"/>
    </sheetView>
  </sheetViews>
  <sheetFormatPr baseColWidth="10" defaultColWidth="8.83203125" defaultRowHeight="15"/>
  <cols>
    <col min="1" max="1" width="4.6640625" customWidth="1"/>
    <col min="2" max="2" width="44.83203125" customWidth="1"/>
    <col min="3" max="5" width="12.6640625" style="43" bestFit="1" customWidth="1"/>
    <col min="6" max="6" width="26" customWidth="1"/>
  </cols>
  <sheetData>
    <row r="1" spans="1:10" ht="60" customHeight="1">
      <c r="A1" s="7"/>
      <c r="B1" s="19" t="s">
        <v>57</v>
      </c>
      <c r="C1" s="42"/>
      <c r="D1" s="42"/>
      <c r="E1" s="42"/>
      <c r="F1" s="20" t="s">
        <v>242</v>
      </c>
      <c r="G1" s="20"/>
      <c r="H1" s="20"/>
      <c r="I1" s="20"/>
      <c r="J1" s="20"/>
    </row>
    <row r="2" spans="1:10">
      <c r="C2" s="66" t="s">
        <v>58</v>
      </c>
      <c r="D2" s="66"/>
      <c r="E2" s="66"/>
    </row>
    <row r="3" spans="1:10">
      <c r="C3" s="44">
        <v>2020</v>
      </c>
      <c r="D3" s="44">
        <v>2021</v>
      </c>
      <c r="E3" s="44">
        <v>2022</v>
      </c>
    </row>
    <row r="4" spans="1:10">
      <c r="A4" s="21">
        <v>1</v>
      </c>
      <c r="B4" s="9" t="s">
        <v>13</v>
      </c>
    </row>
    <row r="5" spans="1:10">
      <c r="A5" s="21">
        <f>+A4+0.1</f>
        <v>1.1000000000000001</v>
      </c>
      <c r="B5" s="1" t="s">
        <v>14</v>
      </c>
      <c r="C5" s="43">
        <f>'Financial Statements'!C41/'Financial Statements'!C54</f>
        <v>1.0502274795268425</v>
      </c>
      <c r="D5" s="43">
        <f>'Financial Statements'!D41/'Financial Statements'!D54</f>
        <v>1.1357597739445826</v>
      </c>
      <c r="E5" s="43">
        <f>'Financial Statements'!E41/'Financial Statements'!E54</f>
        <v>0.9446435811136924</v>
      </c>
    </row>
    <row r="6" spans="1:10">
      <c r="A6" s="21">
        <f t="shared" ref="A6:A13" si="0">+A5+0.1</f>
        <v>1.2000000000000002</v>
      </c>
      <c r="B6" s="1" t="s">
        <v>15</v>
      </c>
      <c r="C6" s="43">
        <f>('Financial Statements'!C41-'Financial Statements'!C39)/'Financial Statements'!C54</f>
        <v>0.86195355461486722</v>
      </c>
      <c r="D6" s="43">
        <f>('Financial Statements'!D41-'Financial Statements'!D39)/'Financial Statements'!D54</f>
        <v>0.90633039517523517</v>
      </c>
      <c r="E6" s="43">
        <f>('Financial Statements'!E41-'Financial Statements'!E39)/'Financial Statements'!E54</f>
        <v>0.72323721145740161</v>
      </c>
    </row>
    <row r="7" spans="1:10">
      <c r="A7" s="21">
        <f t="shared" si="0"/>
        <v>1.3000000000000003</v>
      </c>
      <c r="B7" s="1" t="s">
        <v>16</v>
      </c>
      <c r="C7" s="43">
        <f>'Financial Statements'!C37/'Financial Statements'!C54</f>
        <v>0.33328322190133325</v>
      </c>
      <c r="D7" s="43">
        <f>'Financial Statements'!D37/'Financial Statements'!D54</f>
        <v>0.25459350793583851</v>
      </c>
      <c r="E7" s="43">
        <f>'Financial Statements'!E37/'Financial Statements'!E54</f>
        <v>0.34678524772673158</v>
      </c>
    </row>
    <row r="8" spans="1:10">
      <c r="A8" s="21">
        <f t="shared" si="0"/>
        <v>1.4000000000000004</v>
      </c>
      <c r="B8" s="1" t="s">
        <v>17</v>
      </c>
      <c r="C8" s="43">
        <f>('Financial Statements'!C17-SUM('Financial Statements'!C79:C82))/356</f>
        <v>932.33988764044943</v>
      </c>
      <c r="D8" s="43">
        <f>('Financial Statements'!D17-SUM('Financial Statements'!D79:D82))/356</f>
        <v>1158.3398876404494</v>
      </c>
      <c r="E8" s="43">
        <f>('Financial Statements'!E17-SUM('Financial Statements'!E79:E82))/356</f>
        <v>1211.7275280898875</v>
      </c>
    </row>
    <row r="9" spans="1:10">
      <c r="A9" s="21">
        <f t="shared" si="0"/>
        <v>1.5000000000000004</v>
      </c>
      <c r="B9" s="1" t="s">
        <v>18</v>
      </c>
      <c r="C9" s="43">
        <f>('Financial Statements'!C39/'Financial Statements'!C12)*356</f>
        <v>36.308469098655422</v>
      </c>
      <c r="D9" s="43">
        <f>('Financial Statements'!D39/'Financial Statements'!D12)*356</f>
        <v>42.66604000822489</v>
      </c>
      <c r="E9" s="43">
        <f>('Financial Statements'!E39/'Financial Statements'!E12)*356</f>
        <v>42.40604367259747</v>
      </c>
    </row>
    <row r="10" spans="1:10">
      <c r="A10" s="21">
        <f t="shared" si="0"/>
        <v>1.6000000000000005</v>
      </c>
      <c r="B10" s="1" t="s">
        <v>19</v>
      </c>
      <c r="C10" s="43">
        <f>('Financial Statements'!C51*365/'Financial Statements'!C12)</f>
        <v>113.48452896826927</v>
      </c>
      <c r="D10" s="43">
        <f>('Financial Statements'!D51*365/'Financial Statements'!D12)</f>
        <v>105.42681314807743</v>
      </c>
      <c r="E10" s="43">
        <f>('Financial Statements'!E51*365/'Financial Statements'!E12)</f>
        <v>100.59169548975007</v>
      </c>
    </row>
    <row r="11" spans="1:10">
      <c r="A11" s="21">
        <f t="shared" si="0"/>
        <v>1.7000000000000006</v>
      </c>
      <c r="B11" s="1" t="s">
        <v>20</v>
      </c>
      <c r="C11" s="43">
        <f>'Financial Statements'!C8/'Financial Statements'!C40</f>
        <v>15.730747290359384</v>
      </c>
      <c r="D11" s="43">
        <f>'Financial Statements'!D8/'Financial Statements'!D40</f>
        <v>14.284211486424859</v>
      </c>
      <c r="E11" s="43">
        <f>'Financial Statements'!E8/'Financial Statements'!E40</f>
        <v>12.133687440982058</v>
      </c>
    </row>
    <row r="12" spans="1:10">
      <c r="A12" s="21">
        <f t="shared" si="0"/>
        <v>1.8000000000000007</v>
      </c>
      <c r="B12" s="1" t="s">
        <v>21</v>
      </c>
      <c r="C12" s="43">
        <f>C9+C11-C10</f>
        <v>-61.44531257925447</v>
      </c>
      <c r="D12" s="43">
        <f t="shared" ref="D12:E12" si="1">D9+D11-D10</f>
        <v>-48.47656165342768</v>
      </c>
      <c r="E12" s="43">
        <f t="shared" si="1"/>
        <v>-46.051964376170538</v>
      </c>
    </row>
    <row r="13" spans="1:10">
      <c r="A13" s="21">
        <f t="shared" si="0"/>
        <v>1.9000000000000008</v>
      </c>
      <c r="B13" s="1" t="s">
        <v>22</v>
      </c>
      <c r="C13" s="41">
        <f>C14/'Financial Statements'!C8</f>
        <v>1.6442869576028845E-2</v>
      </c>
      <c r="D13" s="41">
        <f>D14/'Financial Statements'!D8</f>
        <v>4.1109186032156859E-2</v>
      </c>
      <c r="E13" s="41">
        <f>E14/'Financial Statements'!E8</f>
        <v>-1.6735962084349094E-2</v>
      </c>
    </row>
    <row r="14" spans="1:10">
      <c r="A14" s="21"/>
      <c r="B14" s="18" t="s">
        <v>23</v>
      </c>
      <c r="C14" s="43">
        <f>'Financial Statements'!C41-'Financial Statements'!C54</f>
        <v>6348</v>
      </c>
      <c r="D14" s="43">
        <f>'Financial Statements'!D41-'Financial Statements'!D54</f>
        <v>19314</v>
      </c>
      <c r="E14" s="43">
        <f>'Financial Statements'!E41-'Financial Statements'!E54</f>
        <v>-8602</v>
      </c>
    </row>
    <row r="15" spans="1:10">
      <c r="A15" s="21"/>
    </row>
    <row r="16" spans="1:10">
      <c r="A16" s="21">
        <f>+A4+1</f>
        <v>2</v>
      </c>
      <c r="B16" s="22" t="s">
        <v>24</v>
      </c>
    </row>
    <row r="17" spans="1:6">
      <c r="A17" s="21">
        <f>+A16+0.1</f>
        <v>2.1</v>
      </c>
      <c r="B17" s="1" t="s">
        <v>10</v>
      </c>
      <c r="C17" s="41">
        <f>'Financial Statements'!C13/'Financial Statements'!C8</f>
        <v>0.3956779186870571</v>
      </c>
      <c r="D17" s="41">
        <f>'Financial Statements'!D13/'Financial Statements'!D8</f>
        <v>0.42032514441639601</v>
      </c>
      <c r="E17" s="41">
        <f>'Financial Statements'!E13/'Financial Statements'!E8</f>
        <v>0.43805339865326287</v>
      </c>
    </row>
    <row r="18" spans="1:6">
      <c r="A18" s="21">
        <f>+A17+0.1</f>
        <v>2.2000000000000002</v>
      </c>
      <c r="B18" s="1" t="s">
        <v>25</v>
      </c>
      <c r="C18" s="41">
        <f>C19/'Financial Statements'!C8</f>
        <v>0.12453634630527581</v>
      </c>
      <c r="D18" s="41">
        <f>D19/'Financial Statements'!D8</f>
        <v>0.12624355607017126</v>
      </c>
      <c r="E18" s="41">
        <f>E19/'Financial Statements'!E8</f>
        <v>0.10539064521589235</v>
      </c>
    </row>
    <row r="19" spans="1:6">
      <c r="A19" s="21"/>
      <c r="B19" s="18" t="s">
        <v>26</v>
      </c>
      <c r="C19" s="43">
        <f>'Financial Statements'!C18+'Financial Statements'!C79</f>
        <v>48079</v>
      </c>
      <c r="D19" s="43">
        <f>'Financial Statements'!D18+'Financial Statements'!D79</f>
        <v>59312</v>
      </c>
      <c r="E19" s="43">
        <f>'Financial Statements'!E18+'Financial Statements'!E79</f>
        <v>54169</v>
      </c>
    </row>
    <row r="20" spans="1:6">
      <c r="A20" s="21">
        <f>+A18+0.1</f>
        <v>2.3000000000000003</v>
      </c>
      <c r="B20" s="1" t="s">
        <v>27</v>
      </c>
      <c r="C20" s="41">
        <f>C21/'Financial Statements'!C8</f>
        <v>5.9313999751336569E-2</v>
      </c>
      <c r="D20" s="41">
        <f>D21/'Financial Statements'!D8</f>
        <v>5.2954097509269465E-2</v>
      </c>
      <c r="E20" s="41">
        <f>E21/'Financial Statements'!E8</f>
        <v>2.3829581912242232E-2</v>
      </c>
    </row>
    <row r="21" spans="1:6">
      <c r="A21" s="21"/>
      <c r="B21" s="18" t="s">
        <v>28</v>
      </c>
      <c r="C21" s="43">
        <f>'Financial Statements'!C18</f>
        <v>22899</v>
      </c>
      <c r="D21" s="43">
        <f>'Financial Statements'!D18</f>
        <v>24879</v>
      </c>
      <c r="E21" s="43">
        <f>'Financial Statements'!E18</f>
        <v>12248</v>
      </c>
    </row>
    <row r="22" spans="1:6">
      <c r="A22" s="21">
        <f>+A20+0.1</f>
        <v>2.4000000000000004</v>
      </c>
      <c r="B22" s="1" t="s">
        <v>29</v>
      </c>
      <c r="C22" s="41">
        <f>'Financial Statements'!C23/'Financial Statements'!C8</f>
        <v>5.5252496995316841E-2</v>
      </c>
      <c r="D22" s="41">
        <f>'Financial Statements'!D23/'Financial Statements'!D8</f>
        <v>7.1014128755145567E-2</v>
      </c>
      <c r="E22" s="41">
        <f>'Financial Statements'!E23/'Financial Statements'!E8</f>
        <v>-5.2958950004183018E-3</v>
      </c>
    </row>
    <row r="23" spans="1:6">
      <c r="A23" s="21"/>
    </row>
    <row r="24" spans="1:6">
      <c r="A24" s="21">
        <f>+A16+1</f>
        <v>3</v>
      </c>
      <c r="B24" s="9" t="s">
        <v>30</v>
      </c>
    </row>
    <row r="25" spans="1:6">
      <c r="A25" s="21">
        <f>+A24+0.1</f>
        <v>3.1</v>
      </c>
      <c r="B25" s="1" t="s">
        <v>31</v>
      </c>
      <c r="C25" s="43">
        <f>'Financial Statements'!C57/'Financial Statements'!C60</f>
        <v>0.13967189221698839</v>
      </c>
      <c r="D25" s="43">
        <f>'Financial Statements'!D57/'Financial Statements'!D60</f>
        <v>0.17266492858762186</v>
      </c>
      <c r="E25" s="43">
        <f>'Financial Statements'!E57/'Financial Statements'!E60</f>
        <v>0.21207584830339321</v>
      </c>
    </row>
    <row r="26" spans="1:6">
      <c r="A26" s="21">
        <f t="shared" ref="A26:A30" si="2">+A25+0.1</f>
        <v>3.2</v>
      </c>
      <c r="B26" s="1" t="s">
        <v>32</v>
      </c>
      <c r="C26" s="43">
        <f>('Financial Statements'!C57/'Financial Statements'!C48)</f>
        <v>9.9055091144009094E-2</v>
      </c>
      <c r="D26" s="43">
        <f>('Financial Statements'!D57/'Financial Statements'!D48)</f>
        <v>0.11590563763081116</v>
      </c>
      <c r="E26" s="43">
        <f>('Financial Statements'!E57/'Financial Statements'!E48)</f>
        <v>0.14513427351812827</v>
      </c>
    </row>
    <row r="27" spans="1:6">
      <c r="A27" s="21">
        <f t="shared" si="2"/>
        <v>3.3000000000000003</v>
      </c>
      <c r="B27" s="1" t="s">
        <v>33</v>
      </c>
      <c r="C27" s="43">
        <f>'Financial Statements'!C57/('Financial Statements'!C57+'Financial Statements'!C68)</f>
        <v>0.2540808177607411</v>
      </c>
      <c r="D27" s="43">
        <f>'Financial Statements'!D57/('Financial Statements'!D57+'Financial Statements'!D68)</f>
        <v>0.26067843562990334</v>
      </c>
      <c r="E27" s="43">
        <f>'Financial Statements'!E57/('Financial Statements'!E57+'Financial Statements'!E68)</f>
        <v>0.31497281805687805</v>
      </c>
    </row>
    <row r="28" spans="1:6">
      <c r="A28" s="21">
        <f t="shared" si="2"/>
        <v>3.4000000000000004</v>
      </c>
      <c r="B28" s="1" t="s">
        <v>34</v>
      </c>
      <c r="C28" s="43">
        <f>C21/'Financial Statements'!C114</f>
        <v>14.048466257668712</v>
      </c>
      <c r="D28" s="43">
        <f>D21/'Financial Statements'!D114</f>
        <v>14.040067720090294</v>
      </c>
      <c r="E28" s="43">
        <f>E21/'Financial Statements'!E114</f>
        <v>5.7180205415499534</v>
      </c>
    </row>
    <row r="29" spans="1:6">
      <c r="A29" s="21">
        <f t="shared" si="2"/>
        <v>3.5000000000000004</v>
      </c>
      <c r="B29" s="1" t="s">
        <v>35</v>
      </c>
      <c r="C29" s="43">
        <f>'Financial Statements'!C18/('Financial Statements'!C100+'Financial Statements'!C113+'Financial Statements'!C114+'Financial Statements'!C101)</f>
        <v>3.4055621653777512</v>
      </c>
      <c r="D29" s="43">
        <f>'Financial Statements'!D18/('Financial Statements'!D100+'Financial Statements'!D113+'Financial Statements'!D114+'Financial Statements'!D101)</f>
        <v>2.8606416005519146</v>
      </c>
      <c r="E29" s="43">
        <f>'Financial Statements'!E18/('Financial Statements'!E100+'Financial Statements'!E113+'Financial Statements'!E114+'Financial Statements'!E101)</f>
        <v>0.82902396101258968</v>
      </c>
      <c r="F29" t="s">
        <v>239</v>
      </c>
    </row>
    <row r="30" spans="1:6">
      <c r="A30" s="21">
        <f t="shared" si="2"/>
        <v>3.6000000000000005</v>
      </c>
      <c r="B30" s="1" t="s">
        <v>36</v>
      </c>
      <c r="C30" s="43">
        <f>C31/'Financial Statements'!C29</f>
        <v>11.598548735046087</v>
      </c>
      <c r="D30" s="43">
        <f>D31/'Financial Statements'!D29</f>
        <v>12.429390054390055</v>
      </c>
      <c r="E30" s="43">
        <f>E31/'Financial Statements'!E29</f>
        <v>12.446854450878398</v>
      </c>
      <c r="F30" t="s">
        <v>240</v>
      </c>
    </row>
    <row r="31" spans="1:6">
      <c r="A31" s="21"/>
      <c r="B31" s="18" t="s">
        <v>37</v>
      </c>
      <c r="C31" s="43">
        <f>'Financial Statements'!C90-'Financial Statements'!C92+'Financial Statements'!C103-'Financial Statements'!C104+'Financial Statements'!C102</f>
        <v>118282</v>
      </c>
      <c r="D31" s="43">
        <f>'Financial Statements'!D90-'Financial Statements'!D92+'Financial Statements'!D103-'Financial Statements'!D104+'Financial Statements'!D102</f>
        <v>127973</v>
      </c>
      <c r="E31" s="43">
        <f>'Financial Statements'!E90-'Financial Statements'!E92+'Financial Statements'!E103-'Financial Statements'!E104+'Financial Statements'!E102</f>
        <v>126821</v>
      </c>
    </row>
    <row r="32" spans="1:6">
      <c r="A32" s="21"/>
    </row>
    <row r="33" spans="1:9">
      <c r="A33" s="21">
        <f>+A24+1</f>
        <v>4</v>
      </c>
      <c r="B33" s="22" t="s">
        <v>38</v>
      </c>
    </row>
    <row r="34" spans="1:9">
      <c r="A34" s="21">
        <f>+A33+0.1</f>
        <v>4.0999999999999996</v>
      </c>
      <c r="B34" s="1" t="s">
        <v>39</v>
      </c>
      <c r="C34" s="43">
        <f>'Financial Statements'!C8/'Financial Statements'!C48</f>
        <v>1.2019614253023865</v>
      </c>
      <c r="D34" s="43">
        <f>'Financial Statements'!D8/'Financial Statements'!D48</f>
        <v>1.1171635172120253</v>
      </c>
      <c r="E34" s="43">
        <f>'Financial Statements'!E8/'Financial Statements'!E48</f>
        <v>1.1108942562273734</v>
      </c>
    </row>
    <row r="35" spans="1:9">
      <c r="A35" s="21">
        <f t="shared" ref="A35:A37" si="3">+A34+0.1</f>
        <v>4.1999999999999993</v>
      </c>
      <c r="B35" s="1" t="s">
        <v>40</v>
      </c>
      <c r="C35" s="43">
        <f>'Financial Statements'!C8/'Financial Statements'!C43</f>
        <v>3.4130523188995174</v>
      </c>
      <c r="D35" s="43">
        <f>'Financial Statements'!D8/'Financial Statements'!D43</f>
        <v>2.9312395106094922</v>
      </c>
      <c r="E35" s="43">
        <f>'Financial Statements'!E8/'Financial Statements'!E43</f>
        <v>2.7527675869640897</v>
      </c>
    </row>
    <row r="36" spans="1:9">
      <c r="A36" s="21">
        <f t="shared" si="3"/>
        <v>4.2999999999999989</v>
      </c>
      <c r="B36" s="1" t="s">
        <v>41</v>
      </c>
      <c r="C36" s="43">
        <f>'Financial Statements'!C8/'Financial Statements'!C39</f>
        <v>16.224584996848076</v>
      </c>
      <c r="D36" s="43">
        <f>'Financial Statements'!D8/'Financial Statements'!D39</f>
        <v>14.39405637254902</v>
      </c>
      <c r="E36" s="43">
        <f>'Financial Statements'!E8/'Financial Statements'!E39</f>
        <v>14.939194884464467</v>
      </c>
      <c r="F36" s="61">
        <f>((C36+D36+E36)/3)</f>
        <v>15.185945417953855</v>
      </c>
    </row>
    <row r="37" spans="1:9">
      <c r="A37" s="21">
        <f t="shared" si="3"/>
        <v>4.3999999999999986</v>
      </c>
      <c r="B37" s="1" t="s">
        <v>42</v>
      </c>
      <c r="C37" s="43">
        <f>'Financial Statements'!C23/'Financial Statements'!C48</f>
        <v>6.6411370040006856E-2</v>
      </c>
      <c r="D37" s="43">
        <f>'Financial Statements'!D23/'Financial Statements'!D48</f>
        <v>7.9334393851846041E-2</v>
      </c>
      <c r="E37" s="43">
        <f>'Financial Statements'!E23/'Financial Statements'!E48</f>
        <v>-5.8831793375479545E-3</v>
      </c>
    </row>
    <row r="38" spans="1:9">
      <c r="A38" s="21"/>
    </row>
    <row r="39" spans="1:9">
      <c r="A39" s="21">
        <f>+A33+1</f>
        <v>5</v>
      </c>
      <c r="B39" s="22" t="s">
        <v>43</v>
      </c>
      <c r="G39" t="s">
        <v>238</v>
      </c>
    </row>
    <row r="40" spans="1:9">
      <c r="A40" s="21">
        <f>+A39+0.1</f>
        <v>5.0999999999999996</v>
      </c>
      <c r="B40" s="1" t="s">
        <v>44</v>
      </c>
      <c r="C40" s="43">
        <f>G40/C41</f>
        <v>44.696030190802112</v>
      </c>
      <c r="D40" s="43">
        <f t="shared" ref="D40:E40" si="4">H40/D41</f>
        <v>50.254873516364945</v>
      </c>
      <c r="E40" s="43">
        <f t="shared" si="4"/>
        <v>-624.06689199118296</v>
      </c>
      <c r="F40" t="s">
        <v>240</v>
      </c>
      <c r="G40">
        <v>93.49</v>
      </c>
      <c r="H40">
        <v>162.85</v>
      </c>
      <c r="I40">
        <v>166.72</v>
      </c>
    </row>
    <row r="41" spans="1:9">
      <c r="A41" s="21">
        <f t="shared" ref="A41:A44" si="5">+A40+0.1</f>
        <v>5.1999999999999993</v>
      </c>
      <c r="B41" s="18" t="s">
        <v>45</v>
      </c>
      <c r="C41" s="43">
        <f>'Financial Statements'!C23/'Financial Statements'!C29</f>
        <v>2.0916846440478527</v>
      </c>
      <c r="D41" s="43">
        <f>'Financial Statements'!D23/'Financial Statements'!D29</f>
        <v>3.2404817404817403</v>
      </c>
      <c r="E41" s="43">
        <f>'Financial Statements'!E23/'Financial Statements'!E29</f>
        <v>-0.2671508489547551</v>
      </c>
      <c r="F41" t="s">
        <v>240</v>
      </c>
    </row>
    <row r="42" spans="1:9">
      <c r="A42" s="21">
        <f t="shared" si="5"/>
        <v>5.2999999999999989</v>
      </c>
      <c r="B42" s="1" t="s">
        <v>46</v>
      </c>
      <c r="C42" s="43">
        <f>G40/C43</f>
        <v>10.207389619288252</v>
      </c>
      <c r="D42" s="43">
        <f t="shared" ref="D42:E42" si="6">H40/D43</f>
        <v>12.128493616405656</v>
      </c>
      <c r="E42" s="43">
        <f t="shared" si="6"/>
        <v>11.631574810158652</v>
      </c>
    </row>
    <row r="43" spans="1:9">
      <c r="A43" s="21">
        <f t="shared" si="5"/>
        <v>5.3999999999999986</v>
      </c>
      <c r="B43" s="18" t="s">
        <v>47</v>
      </c>
      <c r="C43" s="43">
        <f>'Financial Statements'!C68/'Financial Statements'!C29</f>
        <v>9.1590507942733872</v>
      </c>
      <c r="D43" s="43">
        <f>'Financial Statements'!D68/'Financial Statements'!D29</f>
        <v>13.427059052059052</v>
      </c>
      <c r="E43" s="43">
        <f>'Financial Statements'!E68/'Financial Statements'!E29</f>
        <v>14.333398763372264</v>
      </c>
    </row>
    <row r="44" spans="1:9">
      <c r="A44" s="21">
        <f t="shared" si="5"/>
        <v>5.4999999999999982</v>
      </c>
      <c r="B44" s="1" t="s">
        <v>48</v>
      </c>
    </row>
    <row r="45" spans="1:9">
      <c r="A45" s="21"/>
      <c r="B45" s="18" t="s">
        <v>49</v>
      </c>
    </row>
    <row r="46" spans="1:9">
      <c r="A46" s="21">
        <f>+A44+0.1</f>
        <v>5.5999999999999979</v>
      </c>
      <c r="B46" s="1" t="s">
        <v>50</v>
      </c>
    </row>
    <row r="47" spans="1:9">
      <c r="A47" s="21">
        <f t="shared" ref="A47:A50" si="7">+A45+0.1</f>
        <v>0.1</v>
      </c>
      <c r="B47" s="1" t="s">
        <v>51</v>
      </c>
      <c r="C47" s="43">
        <f>'Financial Statements'!C23/'Financial Statements'!C68</f>
        <v>0.22837351719412444</v>
      </c>
      <c r="D47" s="43">
        <f>'Financial Statements'!D23/'Financial Statements'!D68</f>
        <v>0.2413396506202756</v>
      </c>
      <c r="E47" s="43">
        <f>'Financial Statements'!E23/'Financial Statements'!E68</f>
        <v>-1.8638346240490815E-2</v>
      </c>
    </row>
    <row r="48" spans="1:9">
      <c r="A48" s="21">
        <f t="shared" si="7"/>
        <v>5.6999999999999975</v>
      </c>
      <c r="B48" s="1" t="s">
        <v>52</v>
      </c>
      <c r="C48" s="43">
        <f>('Financial Statements'!C18/('Financial Statements'!C68+'Financial Statements'!C57))</f>
        <v>0.18287014853857211</v>
      </c>
      <c r="D48" s="43">
        <f>('Financial Statements'!D18/('Financial Statements'!D68+'Financial Statements'!D57))</f>
        <v>0.13305060725497223</v>
      </c>
      <c r="E48" s="43">
        <f>('Financial Statements'!E18/('Financial Statements'!E68+'Financial Statements'!E57))</f>
        <v>5.745029151989043E-2</v>
      </c>
      <c r="F48" t="s">
        <v>241</v>
      </c>
    </row>
    <row r="49" spans="1:5">
      <c r="A49" s="21">
        <f t="shared" si="7"/>
        <v>0.2</v>
      </c>
      <c r="B49" s="1" t="s">
        <v>42</v>
      </c>
      <c r="C49" s="43">
        <f>C37</f>
        <v>6.6411370040006856E-2</v>
      </c>
      <c r="D49" s="43">
        <f t="shared" ref="D49:E49" si="8">D37</f>
        <v>7.9334393851846041E-2</v>
      </c>
      <c r="E49" s="43">
        <f t="shared" si="8"/>
        <v>-5.8831793375479545E-3</v>
      </c>
    </row>
    <row r="50" spans="1:5">
      <c r="A50" s="21">
        <f t="shared" si="7"/>
        <v>5.7999999999999972</v>
      </c>
      <c r="B50" s="1" t="s">
        <v>53</v>
      </c>
      <c r="C50" s="43">
        <f>C51/C19</f>
        <v>19.615737016160899</v>
      </c>
      <c r="D50" s="43">
        <f t="shared" ref="D50:E50" si="9">D51/D19</f>
        <v>28.480368222282166</v>
      </c>
      <c r="E50" s="43">
        <f t="shared" si="9"/>
        <v>31.604276984991419</v>
      </c>
    </row>
    <row r="51" spans="1:5">
      <c r="A51" s="21"/>
      <c r="B51" s="18" t="s">
        <v>54</v>
      </c>
      <c r="C51" s="43">
        <f>((G40*'Financial Statements'!C29)+('Financial Statements'!C57)-('Financial Statements'!C37))</f>
        <v>943105.0199999999</v>
      </c>
      <c r="D51" s="43">
        <f>((H40*'Financial Statements'!D29)+('Financial Statements'!D57)-('Financial Statements'!D37))</f>
        <v>1689227.5999999999</v>
      </c>
      <c r="E51" s="43">
        <f>((I40*'Financial Statements'!E29)+('Financial Statements'!E57)-('Financial Statements'!E37))</f>
        <v>1711972.08</v>
      </c>
    </row>
  </sheetData>
  <mergeCells count="1">
    <mergeCell ref="C2:E2"/>
  </mergeCells>
  <pageMargins left="0.7" right="0.7" top="0.75" bottom="0.75" header="0.3" footer="0.3"/>
  <ignoredErrors>
    <ignoredError sqref="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D952-B23F-FE46-9330-A08E3F19A0DC}">
  <dimension ref="C2:I94"/>
  <sheetViews>
    <sheetView zoomScale="91" workbookViewId="0">
      <selection activeCell="C88" sqref="C88:C89"/>
    </sheetView>
  </sheetViews>
  <sheetFormatPr baseColWidth="10" defaultColWidth="11.5" defaultRowHeight="16" customHeight="1"/>
  <cols>
    <col min="1" max="2" width="10.83203125" customWidth="1"/>
    <col min="3" max="3" width="58.33203125" customWidth="1"/>
    <col min="4" max="4" width="31.83203125" customWidth="1"/>
    <col min="5" max="6" width="7.6640625" bestFit="1" customWidth="1"/>
    <col min="7" max="7" width="11.6640625" bestFit="1" customWidth="1"/>
    <col min="8" max="9" width="7.6640625" bestFit="1" customWidth="1"/>
  </cols>
  <sheetData>
    <row r="2" spans="3:9" ht="16" customHeight="1">
      <c r="C2" t="s">
        <v>153</v>
      </c>
    </row>
    <row r="3" spans="3:9" ht="16" customHeight="1">
      <c r="C3" t="s">
        <v>154</v>
      </c>
    </row>
    <row r="4" spans="3:9" ht="16" customHeight="1">
      <c r="E4">
        <v>2020</v>
      </c>
      <c r="G4">
        <v>2021</v>
      </c>
      <c r="I4">
        <v>2022</v>
      </c>
    </row>
    <row r="5" spans="3:9" ht="16" customHeight="1">
      <c r="C5" t="s">
        <v>155</v>
      </c>
      <c r="D5" t="s">
        <v>156</v>
      </c>
      <c r="E5" s="16">
        <v>36410</v>
      </c>
      <c r="F5" t="s">
        <v>157</v>
      </c>
      <c r="G5" s="16">
        <v>42377</v>
      </c>
      <c r="H5" t="s">
        <v>157</v>
      </c>
      <c r="I5" s="16">
        <v>36477</v>
      </c>
    </row>
    <row r="6" spans="3:9" ht="16" customHeight="1">
      <c r="C6" t="s">
        <v>158</v>
      </c>
      <c r="E6" s="16">
        <v>21331</v>
      </c>
      <c r="G6" s="16">
        <v>33364</v>
      </c>
      <c r="I6" s="16">
        <v>-2722</v>
      </c>
    </row>
    <row r="7" spans="3:9" ht="16" customHeight="1">
      <c r="C7" t="s">
        <v>159</v>
      </c>
      <c r="E7" s="16">
        <v>25180</v>
      </c>
      <c r="G7" s="16">
        <v>34433</v>
      </c>
      <c r="I7" s="16">
        <v>41921</v>
      </c>
    </row>
    <row r="8" spans="3:9" ht="16" customHeight="1">
      <c r="C8" t="s">
        <v>160</v>
      </c>
      <c r="E8" s="16">
        <v>9208</v>
      </c>
      <c r="G8" s="16">
        <v>12757</v>
      </c>
      <c r="I8" s="16">
        <v>19621</v>
      </c>
    </row>
    <row r="9" spans="3:9" ht="16" customHeight="1">
      <c r="C9" t="s">
        <v>161</v>
      </c>
      <c r="E9" s="16">
        <v>-2582</v>
      </c>
      <c r="G9" s="16">
        <v>-14306</v>
      </c>
      <c r="I9" s="16">
        <v>16966</v>
      </c>
    </row>
    <row r="10" spans="3:9" ht="16" customHeight="1">
      <c r="C10" t="s">
        <v>162</v>
      </c>
      <c r="E10">
        <v>-554</v>
      </c>
      <c r="G10">
        <v>-310</v>
      </c>
      <c r="I10" s="16">
        <v>-8148</v>
      </c>
    </row>
    <row r="11" spans="3:9" ht="16" customHeight="1">
      <c r="C11" t="s">
        <v>85</v>
      </c>
      <c r="E11" s="16">
        <v>-2849</v>
      </c>
      <c r="G11" s="16">
        <v>-9487</v>
      </c>
      <c r="I11" s="16">
        <v>-2592</v>
      </c>
    </row>
    <row r="12" spans="3:9" ht="16" customHeight="1">
      <c r="C12" t="s">
        <v>163</v>
      </c>
      <c r="E12" s="16">
        <v>-8169</v>
      </c>
      <c r="G12" s="16">
        <v>-18163</v>
      </c>
      <c r="I12" s="16">
        <v>-21897</v>
      </c>
    </row>
    <row r="13" spans="3:9" ht="16" customHeight="1">
      <c r="C13" t="s">
        <v>93</v>
      </c>
      <c r="E13" s="16">
        <v>17480</v>
      </c>
      <c r="G13" s="16">
        <v>3602</v>
      </c>
      <c r="I13" s="16">
        <v>2945</v>
      </c>
    </row>
    <row r="14" spans="3:9" ht="16" customHeight="1">
      <c r="C14" t="s">
        <v>164</v>
      </c>
      <c r="E14" s="16">
        <v>5754</v>
      </c>
      <c r="G14" s="16">
        <v>2123</v>
      </c>
      <c r="I14" s="16">
        <v>-1558</v>
      </c>
    </row>
    <row r="15" spans="3:9" ht="16" customHeight="1">
      <c r="C15" t="s">
        <v>165</v>
      </c>
      <c r="E15" s="16">
        <v>1265</v>
      </c>
      <c r="G15" s="16">
        <v>2314</v>
      </c>
      <c r="I15" s="16">
        <v>2216</v>
      </c>
    </row>
    <row r="16" spans="3:9" ht="16" customHeight="1">
      <c r="C16" t="s">
        <v>166</v>
      </c>
      <c r="E16" s="16">
        <v>66064</v>
      </c>
      <c r="G16" s="16">
        <v>46327</v>
      </c>
      <c r="I16" s="16">
        <v>46752</v>
      </c>
    </row>
    <row r="17" spans="3:9" ht="16" customHeight="1">
      <c r="C17" t="s">
        <v>167</v>
      </c>
      <c r="E17" s="16">
        <v>-40140</v>
      </c>
      <c r="G17" s="16">
        <v>-61053</v>
      </c>
      <c r="I17" s="16">
        <v>-63645</v>
      </c>
    </row>
    <row r="18" spans="3:9" ht="16" customHeight="1">
      <c r="C18" t="s">
        <v>168</v>
      </c>
      <c r="E18" s="16">
        <v>5096</v>
      </c>
      <c r="G18" s="16">
        <v>5657</v>
      </c>
      <c r="I18" s="16">
        <v>5324</v>
      </c>
    </row>
    <row r="19" spans="3:9" ht="16" customHeight="1">
      <c r="C19" t="s">
        <v>169</v>
      </c>
      <c r="E19" s="16">
        <v>-2325</v>
      </c>
      <c r="G19" s="16">
        <v>-1985</v>
      </c>
      <c r="I19" s="16">
        <v>-8316</v>
      </c>
    </row>
    <row r="20" spans="3:9" ht="16" customHeight="1">
      <c r="C20" t="s">
        <v>170</v>
      </c>
      <c r="E20" s="16">
        <v>50237</v>
      </c>
      <c r="G20" s="16">
        <v>59384</v>
      </c>
      <c r="I20" s="16">
        <v>31601</v>
      </c>
    </row>
    <row r="21" spans="3:9" ht="16" customHeight="1">
      <c r="C21" t="s">
        <v>115</v>
      </c>
      <c r="E21" s="16">
        <v>-72479</v>
      </c>
      <c r="G21" s="16">
        <v>-60157</v>
      </c>
      <c r="I21" s="16">
        <v>-2565</v>
      </c>
    </row>
    <row r="22" spans="3:9" ht="16" customHeight="1">
      <c r="C22" t="s">
        <v>171</v>
      </c>
      <c r="E22" s="16">
        <v>-59611</v>
      </c>
      <c r="G22" s="16">
        <v>-58154</v>
      </c>
      <c r="I22" s="16">
        <v>-37601</v>
      </c>
    </row>
    <row r="23" spans="3:9" ht="16" customHeight="1">
      <c r="C23" t="s">
        <v>172</v>
      </c>
      <c r="I23" s="16">
        <v>-6000</v>
      </c>
    </row>
    <row r="24" spans="3:9" ht="16" customHeight="1">
      <c r="C24" t="s">
        <v>173</v>
      </c>
      <c r="E24" s="16">
        <v>6796</v>
      </c>
      <c r="G24" s="16">
        <v>7956</v>
      </c>
      <c r="I24" s="16">
        <v>41553</v>
      </c>
    </row>
    <row r="25" spans="3:9" ht="16" customHeight="1">
      <c r="C25" t="s">
        <v>174</v>
      </c>
      <c r="E25" s="16">
        <v>-6177</v>
      </c>
      <c r="G25" s="16">
        <v>-7753</v>
      </c>
      <c r="I25" s="16">
        <v>-37554</v>
      </c>
    </row>
    <row r="26" spans="3:9" ht="16" customHeight="1">
      <c r="C26" t="s">
        <v>175</v>
      </c>
      <c r="E26" s="16">
        <v>10525</v>
      </c>
      <c r="G26" s="16">
        <v>19003</v>
      </c>
      <c r="I26" s="16">
        <v>21166</v>
      </c>
    </row>
    <row r="27" spans="3:9" ht="16" customHeight="1">
      <c r="C27" t="s">
        <v>176</v>
      </c>
      <c r="E27" s="16">
        <v>-1553</v>
      </c>
      <c r="G27" s="16">
        <v>-1590</v>
      </c>
      <c r="I27" s="16">
        <v>-1258</v>
      </c>
    </row>
    <row r="28" spans="3:9" ht="16" customHeight="1">
      <c r="C28" t="s">
        <v>177</v>
      </c>
      <c r="E28" s="16">
        <v>-10642</v>
      </c>
      <c r="G28" s="16">
        <v>-11163</v>
      </c>
      <c r="I28" s="16">
        <v>-7941</v>
      </c>
    </row>
    <row r="29" spans="3:9" ht="16" customHeight="1">
      <c r="C29" t="s">
        <v>178</v>
      </c>
      <c r="E29">
        <v>-53</v>
      </c>
      <c r="G29">
        <v>-162</v>
      </c>
      <c r="I29">
        <v>-248</v>
      </c>
    </row>
    <row r="30" spans="3:9" ht="16" customHeight="1">
      <c r="C30" t="s">
        <v>179</v>
      </c>
      <c r="E30" s="16">
        <v>-1104</v>
      </c>
      <c r="G30" s="16">
        <v>6291</v>
      </c>
      <c r="I30" s="16">
        <v>9718</v>
      </c>
    </row>
    <row r="31" spans="3:9" ht="16" customHeight="1">
      <c r="C31" t="s">
        <v>180</v>
      </c>
      <c r="E31">
        <v>618</v>
      </c>
      <c r="G31">
        <v>-364</v>
      </c>
      <c r="I31" s="16">
        <v>-1093</v>
      </c>
    </row>
    <row r="32" spans="3:9" ht="16" customHeight="1">
      <c r="C32" t="s">
        <v>181</v>
      </c>
      <c r="E32" s="16">
        <v>5967</v>
      </c>
      <c r="G32" s="16">
        <v>-5900</v>
      </c>
      <c r="I32" s="16">
        <v>17776</v>
      </c>
    </row>
    <row r="33" spans="3:9" ht="16" customHeight="1">
      <c r="C33" t="s">
        <v>182</v>
      </c>
      <c r="D33" t="s">
        <v>156</v>
      </c>
      <c r="E33">
        <v>42377</v>
      </c>
      <c r="F33" t="s">
        <v>156</v>
      </c>
      <c r="G33">
        <v>36477</v>
      </c>
      <c r="H33" t="s">
        <v>156</v>
      </c>
      <c r="I33">
        <v>54253</v>
      </c>
    </row>
    <row r="34" spans="3:9" ht="16" customHeight="1">
      <c r="C34" t="s">
        <v>183</v>
      </c>
    </row>
    <row r="36" spans="3:9" ht="16" customHeight="1">
      <c r="C36" t="s">
        <v>184</v>
      </c>
    </row>
    <row r="37" spans="3:9" ht="16" customHeight="1">
      <c r="C37" t="s">
        <v>154</v>
      </c>
    </row>
    <row r="38" spans="3:9" ht="16" customHeight="1">
      <c r="E38">
        <v>2020</v>
      </c>
      <c r="G38">
        <v>2021</v>
      </c>
      <c r="I38">
        <v>2022</v>
      </c>
    </row>
    <row r="39" spans="3:9" ht="16" customHeight="1">
      <c r="C39" t="s">
        <v>185</v>
      </c>
      <c r="D39" t="s">
        <v>157</v>
      </c>
      <c r="E39" s="16">
        <v>215915</v>
      </c>
      <c r="F39" t="s">
        <v>157</v>
      </c>
      <c r="G39" s="16">
        <v>241787</v>
      </c>
      <c r="H39" t="s">
        <v>157</v>
      </c>
      <c r="I39" s="16">
        <v>242901</v>
      </c>
    </row>
    <row r="40" spans="3:9" ht="16" customHeight="1">
      <c r="C40" t="s">
        <v>186</v>
      </c>
      <c r="E40" s="16">
        <v>170149</v>
      </c>
      <c r="G40" s="16">
        <v>228035</v>
      </c>
      <c r="I40" s="16">
        <v>271082</v>
      </c>
    </row>
    <row r="41" spans="3:9" ht="16" customHeight="1">
      <c r="C41" t="s">
        <v>65</v>
      </c>
      <c r="E41" s="16">
        <v>386064</v>
      </c>
      <c r="G41" s="16">
        <v>469822</v>
      </c>
      <c r="I41" s="16">
        <v>513983</v>
      </c>
    </row>
    <row r="42" spans="3:9" ht="16" customHeight="1">
      <c r="C42" t="s">
        <v>187</v>
      </c>
      <c r="E42" s="16">
        <v>233307</v>
      </c>
      <c r="G42" s="16">
        <v>272344</v>
      </c>
      <c r="I42" s="16">
        <v>288831</v>
      </c>
    </row>
    <row r="43" spans="3:9" ht="16" customHeight="1">
      <c r="C43" t="s">
        <v>188</v>
      </c>
      <c r="E43" s="16">
        <v>58517</v>
      </c>
      <c r="G43" s="16">
        <v>75111</v>
      </c>
      <c r="I43" s="16">
        <v>84299</v>
      </c>
    </row>
    <row r="44" spans="3:9" ht="16" customHeight="1">
      <c r="C44" t="s">
        <v>189</v>
      </c>
      <c r="E44" s="16">
        <v>42740</v>
      </c>
      <c r="G44" s="16">
        <v>56052</v>
      </c>
      <c r="I44" s="16">
        <v>73213</v>
      </c>
    </row>
    <row r="45" spans="3:9" ht="16" customHeight="1">
      <c r="C45" t="s">
        <v>190</v>
      </c>
      <c r="E45" s="16">
        <v>22008</v>
      </c>
      <c r="G45" s="16">
        <v>32551</v>
      </c>
      <c r="I45" s="16">
        <v>42238</v>
      </c>
    </row>
    <row r="46" spans="3:9" ht="16" customHeight="1">
      <c r="C46" t="s">
        <v>191</v>
      </c>
      <c r="E46" s="16">
        <v>6668</v>
      </c>
      <c r="G46" s="16">
        <v>8823</v>
      </c>
      <c r="I46" s="16">
        <v>11891</v>
      </c>
    </row>
    <row r="47" spans="3:9" ht="16" customHeight="1">
      <c r="C47" t="s">
        <v>192</v>
      </c>
      <c r="E47">
        <v>-75</v>
      </c>
      <c r="G47">
        <v>62</v>
      </c>
      <c r="I47" s="16">
        <v>1263</v>
      </c>
    </row>
    <row r="48" spans="3:9" ht="16" customHeight="1">
      <c r="C48" t="s">
        <v>71</v>
      </c>
      <c r="E48" s="16">
        <v>363165</v>
      </c>
      <c r="G48" s="16">
        <v>444943</v>
      </c>
      <c r="I48" s="16">
        <v>501735</v>
      </c>
    </row>
    <row r="49" spans="3:9" ht="16" customHeight="1">
      <c r="C49" t="s">
        <v>72</v>
      </c>
      <c r="E49" s="16">
        <v>22899</v>
      </c>
      <c r="G49" s="16">
        <v>24879</v>
      </c>
      <c r="I49" s="16">
        <v>12248</v>
      </c>
    </row>
    <row r="50" spans="3:9" ht="16" customHeight="1">
      <c r="C50" t="s">
        <v>193</v>
      </c>
      <c r="E50">
        <v>555</v>
      </c>
      <c r="G50">
        <v>448</v>
      </c>
      <c r="I50">
        <v>989</v>
      </c>
    </row>
    <row r="51" spans="3:9" ht="16" customHeight="1">
      <c r="C51" t="s">
        <v>194</v>
      </c>
      <c r="E51" s="16">
        <v>-1647</v>
      </c>
      <c r="G51" s="16">
        <v>-1809</v>
      </c>
      <c r="I51" s="16">
        <v>-2367</v>
      </c>
    </row>
    <row r="52" spans="3:9" ht="16" customHeight="1">
      <c r="C52" t="s">
        <v>195</v>
      </c>
      <c r="E52" s="16">
        <v>2371</v>
      </c>
      <c r="G52" s="16">
        <v>14633</v>
      </c>
      <c r="I52" s="16">
        <v>-16806</v>
      </c>
    </row>
    <row r="53" spans="3:9" ht="16" customHeight="1">
      <c r="C53" t="s">
        <v>196</v>
      </c>
      <c r="E53" s="16">
        <v>1279</v>
      </c>
      <c r="G53" s="16">
        <v>13272</v>
      </c>
      <c r="I53" s="16">
        <v>-18184</v>
      </c>
    </row>
    <row r="54" spans="3:9" ht="16" customHeight="1">
      <c r="C54" t="s">
        <v>197</v>
      </c>
      <c r="E54" s="16">
        <v>24178</v>
      </c>
      <c r="G54" s="16">
        <v>38151</v>
      </c>
      <c r="I54" s="16">
        <v>-5936</v>
      </c>
    </row>
    <row r="55" spans="3:9" ht="16" customHeight="1">
      <c r="C55" t="s">
        <v>198</v>
      </c>
      <c r="E55" s="16">
        <v>-2863</v>
      </c>
      <c r="G55" s="16">
        <v>-4791</v>
      </c>
      <c r="I55" s="16">
        <v>3217</v>
      </c>
    </row>
    <row r="56" spans="3:9" ht="16" customHeight="1">
      <c r="C56" t="s">
        <v>199</v>
      </c>
      <c r="E56">
        <v>16</v>
      </c>
      <c r="G56">
        <v>4</v>
      </c>
      <c r="I56">
        <v>-3</v>
      </c>
    </row>
    <row r="57" spans="3:9" ht="16" customHeight="1">
      <c r="C57" t="s">
        <v>158</v>
      </c>
      <c r="D57" t="s">
        <v>156</v>
      </c>
      <c r="E57" s="16">
        <v>21331</v>
      </c>
      <c r="F57" t="s">
        <v>157</v>
      </c>
      <c r="G57" s="16">
        <v>33364</v>
      </c>
      <c r="H57" t="s">
        <v>157</v>
      </c>
      <c r="I57" s="16">
        <v>-2722</v>
      </c>
    </row>
    <row r="58" spans="3:9" ht="16" customHeight="1">
      <c r="C58" t="s">
        <v>200</v>
      </c>
      <c r="D58" t="s">
        <v>157</v>
      </c>
      <c r="E58">
        <v>2.13</v>
      </c>
      <c r="F58" t="s">
        <v>157</v>
      </c>
      <c r="G58">
        <v>3.3</v>
      </c>
      <c r="H58" t="s">
        <v>157</v>
      </c>
      <c r="I58">
        <v>-0.27</v>
      </c>
    </row>
    <row r="59" spans="3:9" ht="16" customHeight="1">
      <c r="C59" t="s">
        <v>201</v>
      </c>
      <c r="D59" t="s">
        <v>157</v>
      </c>
      <c r="E59">
        <v>2.09</v>
      </c>
      <c r="F59" t="s">
        <v>157</v>
      </c>
      <c r="G59">
        <v>3.24</v>
      </c>
      <c r="H59" t="s">
        <v>157</v>
      </c>
      <c r="I59">
        <v>-0.27</v>
      </c>
    </row>
    <row r="61" spans="3:9" ht="16" customHeight="1">
      <c r="C61" t="s">
        <v>78</v>
      </c>
      <c r="E61" s="16">
        <v>10005</v>
      </c>
      <c r="G61" s="16">
        <v>10117</v>
      </c>
      <c r="I61" s="16">
        <v>10189</v>
      </c>
    </row>
    <row r="62" spans="3:9" ht="16" customHeight="1">
      <c r="C62" t="s">
        <v>79</v>
      </c>
      <c r="E62" s="16">
        <v>10198</v>
      </c>
      <c r="G62" s="16">
        <v>10296</v>
      </c>
      <c r="I62" s="16">
        <v>10189</v>
      </c>
    </row>
    <row r="63" spans="3:9" ht="16" customHeight="1">
      <c r="C63" t="s">
        <v>183</v>
      </c>
    </row>
    <row r="65" spans="3:8" ht="16" customHeight="1">
      <c r="G65" t="s">
        <v>202</v>
      </c>
    </row>
    <row r="66" spans="3:8" ht="16" customHeight="1">
      <c r="D66" t="s">
        <v>203</v>
      </c>
      <c r="F66">
        <v>2021</v>
      </c>
      <c r="H66">
        <v>2022</v>
      </c>
    </row>
    <row r="68" spans="3:8" ht="16" customHeight="1">
      <c r="C68" t="s">
        <v>204</v>
      </c>
      <c r="E68" t="s">
        <v>157</v>
      </c>
      <c r="F68" s="16">
        <v>36220</v>
      </c>
      <c r="G68" t="s">
        <v>157</v>
      </c>
      <c r="H68" s="16">
        <v>53888</v>
      </c>
    </row>
    <row r="69" spans="3:8" ht="16" customHeight="1">
      <c r="C69" t="s">
        <v>83</v>
      </c>
      <c r="F69" s="16">
        <v>59829</v>
      </c>
      <c r="H69" s="16">
        <v>16138</v>
      </c>
    </row>
    <row r="70" spans="3:8" ht="16" customHeight="1">
      <c r="C70" t="s">
        <v>85</v>
      </c>
      <c r="F70" s="16">
        <v>32640</v>
      </c>
      <c r="H70" s="16">
        <v>34405</v>
      </c>
    </row>
    <row r="71" spans="3:8" ht="16" customHeight="1">
      <c r="C71" t="s">
        <v>163</v>
      </c>
      <c r="F71" s="16">
        <v>32891</v>
      </c>
      <c r="H71" s="16">
        <v>42360</v>
      </c>
    </row>
    <row r="72" spans="3:8" ht="16" customHeight="1">
      <c r="C72" t="s">
        <v>86</v>
      </c>
      <c r="F72" s="16">
        <v>161580</v>
      </c>
      <c r="H72" s="16">
        <v>146791</v>
      </c>
    </row>
    <row r="73" spans="3:8" ht="16" customHeight="1">
      <c r="C73" t="s">
        <v>205</v>
      </c>
      <c r="F73" s="16">
        <v>160281</v>
      </c>
      <c r="H73" s="16">
        <v>186715</v>
      </c>
    </row>
    <row r="74" spans="3:8" ht="16" customHeight="1">
      <c r="C74" t="s">
        <v>206</v>
      </c>
      <c r="F74" s="16">
        <v>56082</v>
      </c>
      <c r="H74" s="16">
        <v>66123</v>
      </c>
    </row>
    <row r="75" spans="3:8" ht="16" customHeight="1">
      <c r="C75" t="s">
        <v>207</v>
      </c>
      <c r="F75" s="16">
        <v>15371</v>
      </c>
      <c r="H75" s="16">
        <v>20288</v>
      </c>
    </row>
    <row r="76" spans="3:8" ht="16" customHeight="1">
      <c r="C76" t="s">
        <v>208</v>
      </c>
      <c r="F76" s="16">
        <v>27235</v>
      </c>
      <c r="H76" s="16">
        <v>42758</v>
      </c>
    </row>
    <row r="77" spans="3:8" ht="16" customHeight="1">
      <c r="C77" t="s">
        <v>91</v>
      </c>
      <c r="E77" t="s">
        <v>157</v>
      </c>
      <c r="F77">
        <v>420549</v>
      </c>
      <c r="G77" t="s">
        <v>157</v>
      </c>
      <c r="H77">
        <v>462675</v>
      </c>
    </row>
    <row r="78" spans="3:8" ht="16" customHeight="1">
      <c r="D78" t="s">
        <v>209</v>
      </c>
    </row>
    <row r="79" spans="3:8" ht="16" customHeight="1">
      <c r="C79" t="s">
        <v>92</v>
      </c>
      <c r="E79" t="s">
        <v>157</v>
      </c>
      <c r="G79" t="s">
        <v>157</v>
      </c>
    </row>
    <row r="80" spans="3:8" ht="16" customHeight="1">
      <c r="C80" t="s">
        <v>93</v>
      </c>
      <c r="E80" s="16">
        <v>78664</v>
      </c>
      <c r="G80" s="16">
        <v>79600</v>
      </c>
    </row>
    <row r="81" spans="3:7" ht="16" customHeight="1">
      <c r="C81" t="s">
        <v>164</v>
      </c>
      <c r="E81" s="16">
        <v>51775</v>
      </c>
      <c r="G81" s="16">
        <v>62566</v>
      </c>
    </row>
    <row r="82" spans="3:7" ht="16" customHeight="1">
      <c r="C82" t="s">
        <v>165</v>
      </c>
      <c r="E82" s="16">
        <v>11827</v>
      </c>
      <c r="G82" s="16">
        <v>13227</v>
      </c>
    </row>
    <row r="83" spans="3:7" ht="16" customHeight="1">
      <c r="C83" t="s">
        <v>96</v>
      </c>
      <c r="E83" s="16">
        <v>142266</v>
      </c>
      <c r="G83" s="16">
        <v>155393</v>
      </c>
    </row>
    <row r="84" spans="3:7" ht="16" customHeight="1">
      <c r="C84" t="s">
        <v>210</v>
      </c>
      <c r="E84" s="16">
        <v>67651</v>
      </c>
      <c r="G84" s="16">
        <v>72968</v>
      </c>
    </row>
    <row r="85" spans="3:7" ht="16" customHeight="1">
      <c r="C85" t="s">
        <v>211</v>
      </c>
      <c r="E85" s="16">
        <v>48744</v>
      </c>
      <c r="G85" s="16">
        <v>67150</v>
      </c>
    </row>
    <row r="86" spans="3:7" ht="16" customHeight="1">
      <c r="C86" t="s">
        <v>212</v>
      </c>
      <c r="E86" s="16">
        <v>23643</v>
      </c>
      <c r="G86" s="16">
        <v>21121</v>
      </c>
    </row>
    <row r="87" spans="3:7" ht="16" customHeight="1">
      <c r="C87" t="s">
        <v>213</v>
      </c>
      <c r="E87">
        <v>106</v>
      </c>
      <c r="G87">
        <v>108</v>
      </c>
    </row>
    <row r="88" spans="3:7" ht="16" customHeight="1">
      <c r="C88" t="s">
        <v>214</v>
      </c>
      <c r="E88" s="16">
        <v>-1837</v>
      </c>
      <c r="G88" s="16">
        <v>-7837</v>
      </c>
    </row>
    <row r="89" spans="3:7" ht="16" customHeight="1">
      <c r="C89" t="s">
        <v>215</v>
      </c>
      <c r="E89" s="16">
        <v>55437</v>
      </c>
      <c r="G89" s="16">
        <v>75066</v>
      </c>
    </row>
    <row r="90" spans="3:7" ht="16" customHeight="1">
      <c r="C90" t="s">
        <v>216</v>
      </c>
      <c r="E90" s="16">
        <v>-1376</v>
      </c>
      <c r="G90" s="16">
        <v>-4487</v>
      </c>
    </row>
    <row r="91" spans="3:7" ht="16" customHeight="1">
      <c r="C91" t="s">
        <v>101</v>
      </c>
      <c r="E91" s="16">
        <v>85915</v>
      </c>
      <c r="G91" s="16">
        <v>83193</v>
      </c>
    </row>
    <row r="92" spans="3:7" ht="16" customHeight="1">
      <c r="C92" t="s">
        <v>217</v>
      </c>
      <c r="E92" s="16">
        <v>138245</v>
      </c>
      <c r="G92" s="16">
        <v>146043</v>
      </c>
    </row>
    <row r="93" spans="3:7" ht="16" customHeight="1">
      <c r="C93" t="s">
        <v>218</v>
      </c>
      <c r="D93" t="s">
        <v>157</v>
      </c>
      <c r="E93">
        <v>420549</v>
      </c>
      <c r="F93" t="s">
        <v>157</v>
      </c>
      <c r="G93">
        <v>462675</v>
      </c>
    </row>
    <row r="94" spans="3:7" ht="16" customHeight="1">
      <c r="C9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2020-05-19T16:15:53Z</dcterms:created>
  <dcterms:modified xsi:type="dcterms:W3CDTF">2024-01-24T20:44:33Z</dcterms:modified>
</cp:coreProperties>
</file>