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rylouis/Downloads/"/>
    </mc:Choice>
  </mc:AlternateContent>
  <xr:revisionPtr revIDLastSave="0" documentId="13_ncr:1_{250AF1C0-F6ED-0B49-9F54-8A8816EF4C41}" xr6:coauthVersionLast="46" xr6:coauthVersionMax="47" xr10:uidLastSave="{00000000-0000-0000-0000-000000000000}"/>
  <bookViews>
    <workbookView xWindow="0" yWindow="500" windowWidth="23260" windowHeight="1572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3" l="1"/>
  <c r="E82" i="3"/>
  <c r="D83" i="3"/>
  <c r="E83" i="3"/>
  <c r="D84" i="3"/>
  <c r="E84" i="3"/>
  <c r="C84" i="3"/>
  <c r="C83" i="3"/>
  <c r="C82" i="3"/>
  <c r="D77" i="3"/>
  <c r="E77" i="3"/>
  <c r="D78" i="3"/>
  <c r="E78" i="3"/>
  <c r="D79" i="3"/>
  <c r="E79" i="3"/>
  <c r="D80" i="3"/>
  <c r="E80" i="3"/>
  <c r="D73" i="3"/>
  <c r="E73" i="3"/>
  <c r="D74" i="3"/>
  <c r="E74" i="3"/>
  <c r="D75" i="3"/>
  <c r="E75" i="3"/>
  <c r="C80" i="3"/>
  <c r="C79" i="3"/>
  <c r="C78" i="3"/>
  <c r="C77" i="3"/>
  <c r="C75" i="3"/>
  <c r="C74" i="3"/>
  <c r="C73" i="3"/>
  <c r="D63" i="3"/>
  <c r="D64" i="3"/>
  <c r="D65" i="3"/>
  <c r="D66" i="3"/>
  <c r="D67" i="3"/>
  <c r="D68" i="3"/>
  <c r="D69" i="3"/>
  <c r="D70" i="3"/>
  <c r="C70" i="3"/>
  <c r="C69" i="3"/>
  <c r="C68" i="3"/>
  <c r="C67" i="3"/>
  <c r="C66" i="3"/>
  <c r="C65" i="3"/>
  <c r="C64" i="3"/>
  <c r="C63" i="3"/>
  <c r="D55" i="3"/>
  <c r="D56" i="3"/>
  <c r="D57" i="3"/>
  <c r="D59" i="3"/>
  <c r="D60" i="3"/>
  <c r="D61" i="3"/>
  <c r="D62" i="3"/>
  <c r="C62" i="3"/>
  <c r="C61" i="3"/>
  <c r="C60" i="3"/>
  <c r="C59" i="3"/>
  <c r="C57" i="3"/>
  <c r="C56" i="3"/>
  <c r="C55" i="3"/>
  <c r="D54" i="3"/>
  <c r="C54" i="3"/>
  <c r="E43" i="3"/>
  <c r="E42" i="3" s="1"/>
  <c r="D43" i="3"/>
  <c r="C43" i="3"/>
  <c r="D42" i="3"/>
  <c r="C42" i="3"/>
  <c r="E48" i="3"/>
  <c r="D48" i="3"/>
  <c r="C48" i="3"/>
  <c r="D41" i="3"/>
  <c r="E41" i="3"/>
  <c r="C41" i="3"/>
  <c r="C40" i="3" s="1"/>
  <c r="D35" i="3"/>
  <c r="E35" i="3"/>
  <c r="E36" i="3"/>
  <c r="D36" i="3"/>
  <c r="C35" i="3"/>
  <c r="D31" i="3"/>
  <c r="E31" i="3"/>
  <c r="C31" i="3"/>
  <c r="E51" i="3"/>
  <c r="E50" i="3" s="1"/>
  <c r="D51" i="3"/>
  <c r="D50" i="3" s="1"/>
  <c r="C51" i="3"/>
  <c r="C50" i="3" s="1"/>
  <c r="C47" i="3"/>
  <c r="D47" i="3"/>
  <c r="E47" i="3"/>
  <c r="E40" i="3"/>
  <c r="D40" i="3"/>
  <c r="D44" i="3"/>
  <c r="E44" i="3"/>
  <c r="C44" i="3"/>
  <c r="B48" i="1"/>
  <c r="D19" i="3"/>
  <c r="D18" i="3" s="1"/>
  <c r="E19" i="3"/>
  <c r="E18" i="3" s="1"/>
  <c r="D21" i="3"/>
  <c r="D20" i="3" s="1"/>
  <c r="E21" i="3"/>
  <c r="E20" i="3" s="1"/>
  <c r="D22" i="3"/>
  <c r="E22" i="3"/>
  <c r="D25" i="3"/>
  <c r="E25" i="3"/>
  <c r="D26" i="3"/>
  <c r="E26" i="3"/>
  <c r="D27" i="3"/>
  <c r="E27" i="3"/>
  <c r="D28" i="3"/>
  <c r="E28" i="3"/>
  <c r="D34" i="3"/>
  <c r="E34" i="3"/>
  <c r="D37" i="3"/>
  <c r="D49" i="3" s="1"/>
  <c r="E37" i="3"/>
  <c r="E49" i="3" s="1"/>
  <c r="C37" i="3"/>
  <c r="C49" i="3" s="1"/>
  <c r="C36" i="3"/>
  <c r="C34" i="3"/>
  <c r="C28" i="3"/>
  <c r="C27" i="3"/>
  <c r="C26" i="3"/>
  <c r="C25" i="3"/>
  <c r="C22" i="3"/>
  <c r="C21" i="3"/>
  <c r="C20" i="3" s="1"/>
  <c r="C19" i="3"/>
  <c r="C18" i="3" s="1"/>
  <c r="D17" i="3"/>
  <c r="E17" i="3"/>
  <c r="C17" i="3"/>
  <c r="D6" i="3"/>
  <c r="E6" i="3"/>
  <c r="D7" i="3"/>
  <c r="E7" i="3"/>
  <c r="D8" i="3"/>
  <c r="E8" i="3"/>
  <c r="D9" i="3"/>
  <c r="E9" i="3"/>
  <c r="D10" i="3"/>
  <c r="E10" i="3"/>
  <c r="D11" i="3"/>
  <c r="E11" i="3"/>
  <c r="D14" i="3"/>
  <c r="D13" i="3" s="1"/>
  <c r="E14" i="3"/>
  <c r="E13" i="3" s="1"/>
  <c r="C14" i="3"/>
  <c r="C13" i="3" s="1"/>
  <c r="C11" i="3"/>
  <c r="C10" i="3"/>
  <c r="C9" i="3"/>
  <c r="C8" i="3"/>
  <c r="C7" i="3"/>
  <c r="C6" i="3"/>
  <c r="D5" i="3"/>
  <c r="E5" i="3"/>
  <c r="C5" i="3"/>
  <c r="D8" i="1"/>
  <c r="D12" i="1"/>
  <c r="D13" i="1"/>
  <c r="D17" i="1"/>
  <c r="D18" i="1"/>
  <c r="D20" i="1"/>
  <c r="D22" i="1"/>
  <c r="D76" i="1"/>
  <c r="D91" i="1"/>
  <c r="D99" i="1"/>
  <c r="D108" i="1"/>
  <c r="D109" i="1"/>
  <c r="B8" i="1"/>
  <c r="B12" i="1"/>
  <c r="B13" i="1"/>
  <c r="B17" i="1"/>
  <c r="B18" i="1"/>
  <c r="B20" i="1"/>
  <c r="B22" i="1"/>
  <c r="B76" i="1"/>
  <c r="B91" i="1"/>
  <c r="B99" i="1"/>
  <c r="B108" i="1"/>
  <c r="B109" i="1"/>
  <c r="C108" i="1"/>
  <c r="C99" i="1"/>
  <c r="D68" i="1"/>
  <c r="C68" i="1"/>
  <c r="B68" i="1"/>
  <c r="D61" i="1"/>
  <c r="C61" i="1"/>
  <c r="B61" i="1"/>
  <c r="D56" i="1"/>
  <c r="C56" i="1"/>
  <c r="C62" i="1"/>
  <c r="B56" i="1"/>
  <c r="B62" i="1"/>
  <c r="B42" i="1"/>
  <c r="B47" i="1"/>
  <c r="D47" i="1"/>
  <c r="C47" i="1"/>
  <c r="D42" i="1"/>
  <c r="C42" i="1"/>
  <c r="C17" i="1"/>
  <c r="C12" i="1"/>
  <c r="C8" i="1"/>
  <c r="C13" i="1"/>
  <c r="C18" i="1"/>
  <c r="C20" i="1"/>
  <c r="C22" i="1"/>
  <c r="C76" i="1"/>
  <c r="C91" i="1"/>
  <c r="C109" i="1"/>
  <c r="E3" i="3"/>
  <c r="D3" i="3"/>
  <c r="C3" i="3"/>
  <c r="D33" i="1"/>
  <c r="D73" i="1"/>
  <c r="C33" i="1"/>
  <c r="C73" i="1"/>
  <c r="B33" i="1"/>
  <c r="B73" i="1"/>
  <c r="C48" i="1"/>
  <c r="D62" i="1"/>
  <c r="D69" i="1"/>
  <c r="C69" i="1"/>
  <c r="D48" i="1"/>
  <c r="B69" i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C12" i="3"/>
  <c r="D29" i="3"/>
  <c r="D12" i="3"/>
  <c r="E45" i="3"/>
  <c r="E46" i="3" s="1"/>
  <c r="E12" i="3"/>
  <c r="D45" i="3"/>
  <c r="D46" i="3" s="1"/>
  <c r="A33" i="3"/>
  <c r="A25" i="3"/>
  <c r="A26" i="3" s="1"/>
  <c r="A27" i="3" s="1"/>
  <c r="A28" i="3" s="1"/>
  <c r="A29" i="3" s="1"/>
  <c r="A30" i="3" s="1"/>
  <c r="C29" i="3"/>
  <c r="E29" i="3"/>
  <c r="C45" i="3"/>
  <c r="C46" i="3" s="1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<sst xmlns="http://schemas.openxmlformats.org/spreadsheetml/2006/main" count="203" uniqueCount="174">
  <si>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</si>
  <si>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</si>
  <si>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</si>
  <si>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</si>
  <si>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</si>
  <si>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</si>
  <si>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</si>
  <si>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</si>
  <si>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</si>
  <si>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</si>
  <si>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</si>
  <si>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</si>
  <si>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</si>
  <si>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</si>
  <si>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</si>
  <si>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</si>
  <si>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</si>
  <si>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</si>
  <si>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</si>
  <si>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</si>
  <si>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</si>
  <si>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</si>
  <si>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</si>
  <si>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</si>
  <si>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</si>
  <si>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</si>
  <si>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</si>
  <si>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</si>
  <si>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</si>
  <si>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</si>
  <si>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</si>
  <si>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</si>
  <si>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</si>
  <si>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</si>
  <si>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</si>
  <si>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</si>
  <si>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</si>
  <si>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</si>
  <si>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</si>
  <si>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</si>
  <si>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</si>
  <si>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</si>
  <si>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</si>
  <si>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</si>
  <si>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</si>
  <si>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</si>
  <si>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</si>
  <si>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</si>
  <si>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</si>
  <si>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</si>
  <si>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</si>
  <si>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</si>
  <si>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</si>
  <si>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</si>
  <si>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</si>
  <si>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</si>
  <si>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</si>
  <si>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</si>
  <si>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</si>
  <si>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</si>
  <si>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</si>
  <si>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</si>
  <si>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</si>
  <si>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</si>
  <si>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</si>
  <si>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</si>
  <si>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</si>
  <si>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</si>
  <si>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</si>
  <si>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</si>
  <si>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</si>
  <si>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</si>
  <si>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</si>
  <si>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</si>
  <si>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</si>
  <si>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</si>
  <si>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</si>
  <si>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</si>
  <si>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</si>
  <si>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</si>
  <si>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</si>
  <si>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</si>
  <si>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</si>
  <si>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</si>
  <si>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</si>
  <si>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</si>
  <si>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</si>
  <si>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</si>
  <si>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</si>
  <si>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</si>
  <si>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</si>
  <si>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</si>
  <si>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</si>
  <si>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</si>
  <si>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</si>
  <si>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</si>
  <si>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</si>
  <si>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</si>
  <si>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</si>
  <si>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</si>
  <si>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</si>
  <si>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</si>
  <si>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</si>
  <si>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</si>
  <si>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</si>
  <si>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</si>
  <si>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</si>
  <si>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</si>
  <si>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</si>
  <si>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</si>
  <si>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</si>
  <si>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</si>
  <si>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</si>
  <si>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</si>
  <si>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</si>
  <si>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</si>
  <si>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</si>
  <si>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</si>
  <si>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</si>
  <si>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</si>
  <si>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</si>
  <si>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</si>
  <si>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</si>
  <si>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</si>
  <si>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</si>
  <si>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</si>
  <si>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</si>
  <si>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</si>
  <si>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</si>
  <si>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</si>
  <si>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</si>
  <si>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</si>
  <si>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</si>
  <si>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</si>
  <si>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</si>
  <si>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</si>
  <si>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</si>
  <si>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</si>
  <si>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</si>
  <si>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</si>
  <si>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</si>
  <si>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</si>
  <si>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</si>
  <si>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</si>
  <si>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</si>
  <si>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</si>
  <si>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</si>
  <si>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</si>
  <si>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</si>
  <si>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</si>
  <si>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Sales Growth Rate</t>
  </si>
  <si>
    <t>Net Sales</t>
  </si>
  <si>
    <t>Gross Profits</t>
  </si>
  <si>
    <t>Operating Expenses</t>
  </si>
  <si>
    <t>R&amp;D</t>
  </si>
  <si>
    <t>SGA</t>
  </si>
  <si>
    <t>Operating Income</t>
  </si>
  <si>
    <t>Net Profit</t>
  </si>
  <si>
    <t>COGS as a % of net sales</t>
  </si>
  <si>
    <t>Gross profits as a % of net sales</t>
  </si>
  <si>
    <t>Operating Expenses as a % of net sales</t>
  </si>
  <si>
    <t>Operating Income as a % of net sales</t>
  </si>
  <si>
    <t>Net Profit as a % of net sales</t>
  </si>
  <si>
    <t>Total Current Assets</t>
  </si>
  <si>
    <t>Total Non Current Assets</t>
  </si>
  <si>
    <t>Total Assets</t>
  </si>
  <si>
    <t>Total Current Liabilities</t>
  </si>
  <si>
    <t>Total Non Current Liabilities</t>
  </si>
  <si>
    <t>Total Liabilities</t>
  </si>
  <si>
    <t>Total Shareholders' Equity</t>
  </si>
  <si>
    <t>Total Liabilities and Shareholders' Equity</t>
  </si>
  <si>
    <t>Income Tax Rate</t>
  </si>
  <si>
    <t>Capex as a % of sales</t>
  </si>
  <si>
    <t>Capex as a %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</si>
</sst>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3" applyFont="1"/>
    <xf numFmtId="10" fontId="0" fillId="0" borderId="0" xfId="3" applyNumberFormat="1" applyFont="1"/>
    <xf numFmtId="10" fontId="0" fillId="0" borderId="0" xfId="0" applyNumberFormat="1"/>
    <xf numFmtId="173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40" zoomScale="130" zoomScaleNormal="130" workbookViewId="0">
      <selection activeCell="B11" sqref="B11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142</v>
      </c>
      <c r="C32" s="24"/>
      <c r="D32" s="24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tabSelected="1" topLeftCell="A68" zoomScale="130" zoomScaleNormal="130" workbookViewId="0">
      <selection activeCell="F48" sqref="F48"/>
    </sheetView>
  </sheetViews>
  <sheetFormatPr baseColWidth="10" defaultColWidth="8.83203125" defaultRowHeight="15" x14ac:dyDescent="0.2"/>
  <cols>
    <col min="1" max="1" width="4.6640625" customWidth="1"/>
    <col min="2" max="2" width="45" customWidth="1"/>
    <col min="3" max="3" width="10.1640625" bestFit="1" customWidth="1"/>
    <col min="4" max="4" width="11.1640625" bestFit="1" customWidth="1"/>
    <col min="5" max="5" width="12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4" t="s">
        <v>23</v>
      </c>
      <c r="D2" s="24"/>
      <c r="E2" s="2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Statements'!B36+'Financial Statements'!B37+'Financial Statements'!B38)/'Financial Statements'!B56</f>
        <v>0.49673338442155579</v>
      </c>
      <c r="D6">
        <f>('Financial Statements'!C36+'Financial Statements'!C37+'Financial Statements'!C38)/'Financial Statements'!C56</f>
        <v>0.70860927152317876</v>
      </c>
      <c r="E6">
        <f>('Financial Statements'!D36+'Financial Statements'!D37+'Financial Statements'!D38)/'Financial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SUM('Financial Statements'!B36:B38)/(('Financial Statements'!B17-'Financial Statements'!B79)/365)</f>
        <v>693.77301756914596</v>
      </c>
      <c r="D8">
        <f>SUM('Financial Statements'!C36:C38)/(('Financial Statements'!C17-'Financial Statements'!C79)/365)</f>
        <v>995.4514921939699</v>
      </c>
      <c r="E8">
        <f>SUM('Financial Statements'!D36:D38)/(('Financial Statements'!D17-'Financial Statements'!D79)/365)</f>
        <v>1415.254056207446</v>
      </c>
    </row>
    <row r="9" spans="1:10" x14ac:dyDescent="0.2">
      <c r="A9" s="18">
        <f t="shared" si="0"/>
        <v>1.5000000000000004</v>
      </c>
      <c r="B9" s="1" t="s">
        <v>104</v>
      </c>
      <c r="C9">
        <f>(('Financial Statements'!B39+'Financial Statements'!B85)/2)/'Financial Statements'!B12*365</f>
        <v>5.2493670206579406</v>
      </c>
      <c r="D9">
        <f>(('Financial Statements'!C39+'Financial Statements'!C85)/2)/'Financial Statements'!C12*365</f>
        <v>3.3744089848390235</v>
      </c>
      <c r="E9">
        <f>(('Financial Statements'!D39+'Financial Statements'!D85)/2)/'Financial Statements'!D12*365</f>
        <v>4.2342488455345926</v>
      </c>
    </row>
    <row r="10" spans="1:10" x14ac:dyDescent="0.2">
      <c r="A10" s="18">
        <f t="shared" si="0"/>
        <v>1.6000000000000005</v>
      </c>
      <c r="B10" s="1" t="s">
        <v>105</v>
      </c>
      <c r="C10">
        <f>'Financial Statements'!B51/('Financial Statements'!B12/365)</f>
        <v>104.68527730310541</v>
      </c>
      <c r="D10">
        <f>'Financial Statements'!C51/('Financial Statements'!C12/365)</f>
        <v>93.85107122231561</v>
      </c>
      <c r="E10">
        <f>'Financial Statements'!D51/('Financial Statements'!D12/365)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>
        <f>C9+C11-C10</f>
        <v>-73.348084918790818</v>
      </c>
      <c r="D12">
        <f t="shared" ref="D12:E12" si="1">D9+D11-D10</f>
        <v>-64.257350395763382</v>
      </c>
      <c r="E12">
        <f t="shared" si="1"/>
        <v>-65.380503717342833</v>
      </c>
    </row>
    <row r="13" spans="1:10" x14ac:dyDescent="0.2">
      <c r="A13" s="18">
        <f t="shared" si="0"/>
        <v>1.9000000000000008</v>
      </c>
      <c r="B13" s="1" t="s">
        <v>108</v>
      </c>
      <c r="C13">
        <f>C14/'Financial Statements'!B8</f>
        <v>-4.711052727678481E-2</v>
      </c>
      <c r="D13">
        <f>D14/'Financial Statements'!C8</f>
        <v>2.557289573748623E-2</v>
      </c>
      <c r="E13">
        <f>E14/'Financial Statements'!D8</f>
        <v>0.13959528623208203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>
        <f>('Financial Statements'!B8-'Financial Statements'!B12)/'Financial Statements'!B8</f>
        <v>0.43309630561360085</v>
      </c>
      <c r="D17">
        <f>('Financial Statements'!C8-'Financial Statements'!C12)/'Financial Statements'!C8</f>
        <v>0.41779359625167778</v>
      </c>
      <c r="E17">
        <f>('Financial Statements'!D8-'Financial Statements'!D12)/'Financial Statements'!D8</f>
        <v>0.38233247727810865</v>
      </c>
    </row>
    <row r="18" spans="1:5" x14ac:dyDescent="0.2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E19/'Financial Statements'!D8</f>
        <v>0.2817478097736007</v>
      </c>
    </row>
    <row r="19" spans="1:5" x14ac:dyDescent="0.2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>
        <f>C21/'Financial Statements'!B8</f>
        <v>0.30288744395528594</v>
      </c>
      <c r="D20">
        <f>D21/'Financial Statements'!C8</f>
        <v>0.29782377527561593</v>
      </c>
      <c r="E20">
        <f>E21/'Financial Statements'!D8</f>
        <v>0.24147314354406862</v>
      </c>
    </row>
    <row r="21" spans="1:5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('Financial Statements'!B55+'Financial Statements'!B59)/'Financial Statements'!B68</f>
        <v>2.1725410483107042</v>
      </c>
      <c r="D25">
        <f>('Financial Statements'!C55+'Financial Statements'!C59)/'Financial Statements'!C68</f>
        <v>1.8817403708987162</v>
      </c>
      <c r="E25">
        <f>('Financial Statements'!D55+'Financial Statements'!D59)/'Financial Statements'!D68</f>
        <v>1.6443471739696047</v>
      </c>
    </row>
    <row r="26" spans="1:5" x14ac:dyDescent="0.2">
      <c r="A26" s="18">
        <f t="shared" ref="A26:A30" si="2">+A25+0.1</f>
        <v>3.2</v>
      </c>
      <c r="B26" s="1" t="s">
        <v>118</v>
      </c>
      <c r="C26">
        <f>('Financial Statements'!B55+'Financial Statements'!B59)/'Financial Statements'!B48</f>
        <v>0.31207778769967826</v>
      </c>
      <c r="D26">
        <f>('Financial Statements'!C55+'Financial Statements'!C59)/'Financial Statements'!C48</f>
        <v>0.33822884200090025</v>
      </c>
      <c r="E26">
        <f>('Financial Statements'!D55+'Financial Statements'!D59)/'Financial Statements'!D48</f>
        <v>0.33171960677765155</v>
      </c>
    </row>
    <row r="27" spans="1:5" x14ac:dyDescent="0.2">
      <c r="A27" s="18">
        <f t="shared" si="2"/>
        <v>3.3000000000000003</v>
      </c>
      <c r="B27" s="1" t="s">
        <v>119</v>
      </c>
      <c r="C27">
        <f>'Financial Statements'!B59/('Financial Statements'!B59+'Financial Statements'!B65)</f>
        <v>0.60411579410041027</v>
      </c>
      <c r="D27">
        <f>'Financial Statements'!C59/('Financial Statements'!C59+'Financial Statements'!C65)</f>
        <v>0.65540544599359651</v>
      </c>
      <c r="E27">
        <f>'Financial Statements'!D59/('Financial Statements'!D59+'Financial Statements'!D65)</f>
        <v>0.66021840664855536</v>
      </c>
    </row>
    <row r="28" spans="1:5" x14ac:dyDescent="0.2">
      <c r="A28" s="18">
        <f t="shared" si="2"/>
        <v>3.4000000000000004</v>
      </c>
      <c r="B28" s="1" t="s">
        <v>120</v>
      </c>
      <c r="C28">
        <f>'Financial Statements'!B20/'Financial Statements'!B114</f>
        <v>41.571727748691103</v>
      </c>
      <c r="D28">
        <f>'Financial Statements'!C20/'Financial Statements'!C114</f>
        <v>40.642724227763303</v>
      </c>
      <c r="E28">
        <f>'Financial Statements'!D20/'Financial Statements'!D114</f>
        <v>22.348767488341107</v>
      </c>
    </row>
    <row r="29" spans="1:5" x14ac:dyDescent="0.2">
      <c r="A29" s="18">
        <f t="shared" si="2"/>
        <v>3.5000000000000004</v>
      </c>
      <c r="B29" s="1" t="s">
        <v>121</v>
      </c>
      <c r="C29">
        <f>C21/('Financial Statements'!B114-'Financial Statements'!B105+'Financial Statements'!B104)</f>
        <v>6.6825379063391708</v>
      </c>
      <c r="D29">
        <f>D21/('Financial Statements'!C114-'Financial Statements'!C105+'Financial Statements'!C104)</f>
        <v>3.4228400879673266</v>
      </c>
      <c r="E29">
        <f>E21/('Financial Statements'!D114-'Financial Statements'!D105+'Financial Statements'!D104)</f>
        <v>2.0896538679780594</v>
      </c>
    </row>
    <row r="30" spans="1:5" x14ac:dyDescent="0.2">
      <c r="A30" s="18">
        <f t="shared" si="2"/>
        <v>3.6000000000000005</v>
      </c>
      <c r="B30" s="1" t="s">
        <v>122</v>
      </c>
    </row>
    <row r="31" spans="1:5" x14ac:dyDescent="0.2">
      <c r="A31" s="18"/>
      <c r="B31" s="3" t="s">
        <v>123</v>
      </c>
      <c r="C31">
        <f>'Financial Statements'!B91+'Financial Statements'!B96+'Financial Statements'!B104</f>
        <v>116908</v>
      </c>
      <c r="D31">
        <f>'Financial Statements'!C91+'Financial Statements'!C96+'Financial Statements'!C104</f>
        <v>113346</v>
      </c>
      <c r="E31">
        <f>'Financial Statements'!D91+'Financial Statements'!D96+'Financial Statements'!D104</f>
        <v>89456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5" x14ac:dyDescent="0.2">
      <c r="A36" s="18">
        <f t="shared" si="3"/>
        <v>4.2999999999999989</v>
      </c>
      <c r="B36" s="1" t="s">
        <v>127</v>
      </c>
      <c r="C36">
        <f>'Financial Statements'!B12/'Financial Statements'!B39</f>
        <v>45.197331176708452</v>
      </c>
      <c r="D36">
        <f>'Financial Statements'!C12/'Financial Statements'!C39</f>
        <v>32.367933130699086</v>
      </c>
      <c r="E36">
        <f>'Financial Statements'!D12/'Financial Statements'!D39</f>
        <v>41.753016498399411</v>
      </c>
    </row>
    <row r="37" spans="1:5" x14ac:dyDescent="0.2">
      <c r="A37" s="18">
        <f t="shared" si="3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129.21/C41</f>
        <v>21.147299509001638</v>
      </c>
      <c r="D40">
        <f>175.57/D41</f>
        <v>31.295900178253117</v>
      </c>
      <c r="E40">
        <f>130.39/E41</f>
        <v>39.753048780487802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'Financial Statements'!B25</f>
        <v>6.11</v>
      </c>
      <c r="D41">
        <f>'Financial Statements'!C25</f>
        <v>5.61</v>
      </c>
      <c r="E41">
        <f>'Financial Statements'!D25</f>
        <v>3.28</v>
      </c>
    </row>
    <row r="42" spans="1:5" x14ac:dyDescent="0.2">
      <c r="A42" s="18">
        <f t="shared" si="4"/>
        <v>5.2999999999999989</v>
      </c>
      <c r="B42" s="1" t="s">
        <v>132</v>
      </c>
      <c r="C42">
        <f>129.21/C43</f>
        <v>41.629678579688985</v>
      </c>
      <c r="D42">
        <f>175.57/D43</f>
        <v>46.93253810160089</v>
      </c>
      <c r="E42">
        <f>130.39/E43</f>
        <v>34.979167472107008</v>
      </c>
    </row>
    <row r="43" spans="1:5" x14ac:dyDescent="0.2">
      <c r="A43" s="18">
        <f t="shared" si="4"/>
        <v>5.3999999999999986</v>
      </c>
      <c r="B43" s="3" t="s">
        <v>133</v>
      </c>
      <c r="C43">
        <f>('Financial Statements'!B68*10^3)/'Financial Statements'!B28</f>
        <v>3.1037952827971447</v>
      </c>
      <c r="D43">
        <f>('Financial Statements'!C68*10^3)/'Financial Statements'!C28</f>
        <v>3.740901453484597</v>
      </c>
      <c r="E43">
        <f>('Financial Statements'!D68*10^3)/'Financial Statements'!D28</f>
        <v>3.7276473233382479</v>
      </c>
    </row>
    <row r="44" spans="1:5" x14ac:dyDescent="0.2">
      <c r="A44" s="18">
        <f t="shared" si="4"/>
        <v>5.4999999999999982</v>
      </c>
      <c r="B44" s="1" t="s">
        <v>134</v>
      </c>
      <c r="C44" s="27">
        <f>-'Financial Statements'!B102/'Financial Statements'!B22</f>
        <v>0.14870294480125848</v>
      </c>
      <c r="D44" s="27">
        <f>-'Financial Statements'!C102/'Financial Statements'!C22</f>
        <v>0.15279890156316012</v>
      </c>
      <c r="E44" s="27">
        <f>-'Financial Statements'!D102/'Financial Statements'!D22</f>
        <v>0.24526658654264863</v>
      </c>
    </row>
    <row r="45" spans="1:5" x14ac:dyDescent="0.2">
      <c r="A45" s="18"/>
      <c r="B45" s="3" t="s">
        <v>135</v>
      </c>
      <c r="C45">
        <f>C41*C44</f>
        <v>0.90857499273568931</v>
      </c>
      <c r="D45">
        <f t="shared" ref="D45:E45" si="5">D41*D44</f>
        <v>0.85720183776932835</v>
      </c>
      <c r="E45">
        <f t="shared" si="5"/>
        <v>0.80447440385988744</v>
      </c>
    </row>
    <row r="46" spans="1:5" x14ac:dyDescent="0.2">
      <c r="A46" s="18">
        <f>+A44+0.1</f>
        <v>5.5999999999999979</v>
      </c>
      <c r="B46" s="1" t="s">
        <v>136</v>
      </c>
      <c r="C46" s="26">
        <f>C45/129.21</f>
        <v>7.0317699306221594E-3</v>
      </c>
      <c r="D46" s="26">
        <f t="shared" ref="D46:E46" si="6">D45/129.21</f>
        <v>6.6341756657327475E-3</v>
      </c>
      <c r="E46" s="26">
        <f t="shared" si="6"/>
        <v>6.2261001769204193E-3</v>
      </c>
    </row>
    <row r="47" spans="1:5" x14ac:dyDescent="0.2">
      <c r="A47" s="18">
        <f t="shared" ref="A47:A50" si="7">+A45+0.1</f>
        <v>0.1</v>
      </c>
      <c r="B47" s="1" t="s">
        <v>137</v>
      </c>
      <c r="C47">
        <f>'Financial Statements'!B22/'Financial Statements'!B68</f>
        <v>1.9695887275023682</v>
      </c>
      <c r="D47">
        <f>'Financial Statements'!C22/'Financial Statements'!C68</f>
        <v>1.5007132667617689</v>
      </c>
      <c r="E47">
        <f>'Financial Statements'!D22/'Financial Statements'!D68</f>
        <v>0.87866358530127486</v>
      </c>
    </row>
    <row r="48" spans="1:5" x14ac:dyDescent="0.2">
      <c r="A48" s="18">
        <f t="shared" si="7"/>
        <v>5.6999999999999975</v>
      </c>
      <c r="B48" s="1" t="s">
        <v>138</v>
      </c>
      <c r="C48" s="29">
        <f>'Financial Statements'!B22/('Financial Statements'!B68+'Financial Statements'!B59)</f>
        <v>0.66699413891506443</v>
      </c>
      <c r="D48" s="29">
        <f>'Financial Statements'!C22/('Financial Statements'!C68+'Financial Statements'!C59)</f>
        <v>0.5498385560640201</v>
      </c>
      <c r="E48" s="29">
        <f>'Financial Statements'!D22/('Financial Statements'!D68+'Financial Statements'!D59)</f>
        <v>0.35005426630733022</v>
      </c>
    </row>
    <row r="49" spans="1:5" x14ac:dyDescent="0.2">
      <c r="A49" s="18">
        <f t="shared" si="7"/>
        <v>0.2</v>
      </c>
      <c r="B49" s="1" t="s">
        <v>128</v>
      </c>
      <c r="C49" s="28">
        <f>C37</f>
        <v>0.28292440929256851</v>
      </c>
      <c r="D49" s="28">
        <f t="shared" ref="D49:E49" si="8">D37</f>
        <v>0.26974205275183616</v>
      </c>
      <c r="E49" s="28">
        <f t="shared" si="8"/>
        <v>0.1772557180259843</v>
      </c>
    </row>
    <row r="50" spans="1:5" x14ac:dyDescent="0.2">
      <c r="A50" s="18">
        <f t="shared" si="7"/>
        <v>5.7999999999999972</v>
      </c>
      <c r="B50" s="1" t="s">
        <v>139</v>
      </c>
      <c r="C50">
        <f>C51/('Financial Statements'!B18+'Financial Statements'!B79)</f>
        <v>16.488620433427045</v>
      </c>
      <c r="D50">
        <f>D51/('Financial Statements'!C18+'Financial Statements'!C79)</f>
        <v>24.824956542712901</v>
      </c>
      <c r="E50">
        <f>E51/('Financial Statements'!D18+'Financial Statements'!D79)</f>
        <v>30.053061646669423</v>
      </c>
    </row>
    <row r="51" spans="1:5" x14ac:dyDescent="0.2">
      <c r="A51" s="18"/>
      <c r="B51" s="3" t="s">
        <v>140</v>
      </c>
      <c r="C51">
        <f>(2.066*10^6)+'Financial Statements'!B55+'Financial Statements'!B59-'Financial Statements'!B36</f>
        <v>2152441</v>
      </c>
      <c r="D51">
        <f>(2.901*10^6)+'Financial Statements'!C55+'Financial Statements'!C59-'Financial Statements'!C36</f>
        <v>2984779</v>
      </c>
      <c r="E51">
        <f>(2.255*10^6)+'Financial Statements'!D55+'Financial Statements'!D59-'Financial Statements'!D36</f>
        <v>2324424</v>
      </c>
    </row>
    <row r="53" spans="1:5" x14ac:dyDescent="0.2">
      <c r="B53" s="1" t="s">
        <v>150</v>
      </c>
    </row>
    <row r="54" spans="1:5" x14ac:dyDescent="0.2">
      <c r="B54" s="3" t="s">
        <v>4</v>
      </c>
      <c r="C54" s="27">
        <f>'Financial Statements'!B6/'Financial Statements'!C6-1</f>
        <v>6.3239764351428418E-2</v>
      </c>
      <c r="D54" s="27">
        <f>'Financial Statements'!C6/'Financial Statements'!D6-1</f>
        <v>0.34720743656765429</v>
      </c>
    </row>
    <row r="55" spans="1:5" x14ac:dyDescent="0.2">
      <c r="B55" s="3" t="s">
        <v>5</v>
      </c>
      <c r="C55" s="27">
        <f>'Financial Statements'!B7/'Financial Statements'!C7-1</f>
        <v>0.14181951041286078</v>
      </c>
      <c r="D55" s="27">
        <f>'Financial Statements'!C7/'Financial Statements'!D7-1</f>
        <v>0.27259708376729663</v>
      </c>
    </row>
    <row r="56" spans="1:5" x14ac:dyDescent="0.2">
      <c r="B56" s="3" t="s">
        <v>151</v>
      </c>
      <c r="C56" s="27">
        <f>'Financial Statements'!B8/'Financial Statements'!C8-1</f>
        <v>7.7937876041846099E-2</v>
      </c>
      <c r="D56" s="27">
        <f>'Financial Statements'!C8/'Financial Statements'!D8-1</f>
        <v>0.33259384733074704</v>
      </c>
    </row>
    <row r="57" spans="1:5" x14ac:dyDescent="0.2">
      <c r="B57" s="1" t="s">
        <v>152</v>
      </c>
      <c r="C57" s="27">
        <f>'Financial Statements'!B13/'Financial Statements'!C13-1</f>
        <v>0.1174199795859614</v>
      </c>
      <c r="D57" s="27">
        <f>'Financial Statements'!C13/'Financial Statements'!D13-1</f>
        <v>0.45619116582186825</v>
      </c>
    </row>
    <row r="58" spans="1:5" x14ac:dyDescent="0.2">
      <c r="B58" s="1" t="s">
        <v>153</v>
      </c>
    </row>
    <row r="59" spans="1:5" x14ac:dyDescent="0.2">
      <c r="B59" s="3" t="s">
        <v>154</v>
      </c>
      <c r="C59" s="27">
        <f>'Financial Statements'!B15/'Financial Statements'!C15-1</f>
        <v>0.19791001186456136</v>
      </c>
      <c r="D59" s="27">
        <f>'Financial Statements'!C15/'Financial Statements'!D15-1</f>
        <v>0.16862201365187723</v>
      </c>
    </row>
    <row r="60" spans="1:5" x14ac:dyDescent="0.2">
      <c r="B60" s="3" t="s">
        <v>155</v>
      </c>
      <c r="C60" s="27">
        <f>'Financial Statements'!B16/'Financial Statements'!C16-1</f>
        <v>0.14203795567287125</v>
      </c>
      <c r="D60" s="27">
        <f>'Financial Statements'!C16/'Financial Statements'!D16-1</f>
        <v>0.10328379192608961</v>
      </c>
    </row>
    <row r="61" spans="1:5" x14ac:dyDescent="0.2">
      <c r="B61" s="1" t="s">
        <v>156</v>
      </c>
      <c r="C61" s="27">
        <f>'Financial Statements'!B18/'Financial Statements'!C18-1</f>
        <v>9.6265225013538513E-2</v>
      </c>
      <c r="D61" s="27">
        <f>'Financial Statements'!C18/'Financial Statements'!D18-1</f>
        <v>0.64357048032826447</v>
      </c>
    </row>
    <row r="62" spans="1:5" x14ac:dyDescent="0.2">
      <c r="B62" s="1" t="s">
        <v>157</v>
      </c>
      <c r="C62" s="27">
        <f>'Financial Statements'!B22/'Financial Statements'!C22-1</f>
        <v>5.410857625686516E-2</v>
      </c>
      <c r="D62" s="27">
        <f>'Financial Statements'!C22/'Financial Statements'!D22-1</f>
        <v>0.64916131055024295</v>
      </c>
    </row>
    <row r="63" spans="1:5" x14ac:dyDescent="0.2">
      <c r="B63" s="1" t="s">
        <v>163</v>
      </c>
      <c r="C63" s="27">
        <f>'Financial Statements'!B42/'Financial Statements'!C42-1</f>
        <v>4.2199412619774446E-3</v>
      </c>
      <c r="D63" s="27">
        <f>'Financial Statements'!C42/'Financial Statements'!D42-1</f>
        <v>-6.1768942266879123E-2</v>
      </c>
    </row>
    <row r="64" spans="1:5" x14ac:dyDescent="0.2">
      <c r="B64" s="1" t="s">
        <v>164</v>
      </c>
      <c r="C64" s="27">
        <f>'Financial Statements'!B47/'Financial Statements'!C47-1</f>
        <v>5.477272096444441E-3</v>
      </c>
      <c r="D64" s="27">
        <f>'Financial Statements'!C47/'Financial Statements'!D47-1</f>
        <v>0.19975579297904811</v>
      </c>
    </row>
    <row r="65" spans="2:5" x14ac:dyDescent="0.2">
      <c r="B65" s="1" t="s">
        <v>165</v>
      </c>
      <c r="C65" s="27">
        <f>'Financial Statements'!B48/'Financial Statements'!C48-1</f>
        <v>4.994273536902849E-3</v>
      </c>
      <c r="D65" s="27">
        <f>'Financial Statements'!C48/'Financial Statements'!D48-1</f>
        <v>8.3714123400681739E-2</v>
      </c>
    </row>
    <row r="66" spans="2:5" x14ac:dyDescent="0.2">
      <c r="B66" s="1" t="s">
        <v>166</v>
      </c>
      <c r="C66" s="27">
        <f>'Financial Statements'!B56/'Financial Statements'!C56-1</f>
        <v>0.22713398841258825</v>
      </c>
      <c r="D66" s="27">
        <f>'Financial Statements'!C56/'Financial Statements'!D56-1</f>
        <v>0.19061219067860935</v>
      </c>
    </row>
    <row r="67" spans="2:5" x14ac:dyDescent="0.2">
      <c r="B67" s="1" t="s">
        <v>167</v>
      </c>
      <c r="C67" s="27">
        <f>'Financial Statements'!B61/'Financial Statements'!C61-1</f>
        <v>-8.8222075835277747E-2</v>
      </c>
      <c r="D67" s="27">
        <f>'Financial Statements'!C61/'Financial Statements'!D61-1</f>
        <v>6.0552243775994663E-2</v>
      </c>
    </row>
    <row r="68" spans="2:5" x14ac:dyDescent="0.2">
      <c r="B68" s="1" t="s">
        <v>168</v>
      </c>
      <c r="C68" s="27">
        <f>'Financial Statements'!B62/'Financial Statements'!C62-1</f>
        <v>4.9219900525160565E-2</v>
      </c>
      <c r="D68" s="27">
        <f>'Financial Statements'!C62/'Financial Statements'!D62-1</f>
        <v>0.11356841449783217</v>
      </c>
    </row>
    <row r="69" spans="2:5" x14ac:dyDescent="0.2">
      <c r="B69" s="1" t="s">
        <v>169</v>
      </c>
      <c r="C69" s="27">
        <f>'Financial Statements'!B68/'Financial Statements'!C68-1</f>
        <v>-0.19682992550324929</v>
      </c>
      <c r="D69" s="27">
        <f>'Financial Statements'!C68/'Financial Statements'!D68-1</f>
        <v>-3.4420483937617652E-2</v>
      </c>
    </row>
    <row r="70" spans="2:5" x14ac:dyDescent="0.2">
      <c r="B70" s="1" t="s">
        <v>170</v>
      </c>
      <c r="C70" s="27">
        <f>'Financial Statements'!B69/'Financial Statements'!C69-1</f>
        <v>4.994273536902849E-3</v>
      </c>
      <c r="D70" s="27">
        <f>'Financial Statements'!C69/'Financial Statements'!D69-1</f>
        <v>8.3714123400681739E-2</v>
      </c>
    </row>
    <row r="71" spans="2:5" x14ac:dyDescent="0.2">
      <c r="B71" s="1"/>
    </row>
    <row r="72" spans="2:5" x14ac:dyDescent="0.2">
      <c r="B72" s="1" t="s">
        <v>158</v>
      </c>
    </row>
    <row r="73" spans="2:5" x14ac:dyDescent="0.2">
      <c r="B73" s="3" t="s">
        <v>4</v>
      </c>
      <c r="C73" s="27">
        <f>'Financial Statements'!B10/'Financial Statements'!B8</f>
        <v>0.5109223793390274</v>
      </c>
      <c r="D73" s="27">
        <f>'Financial Statements'!C10/'Financial Statements'!C8</f>
        <v>0.5255797297555882</v>
      </c>
      <c r="E73" s="27">
        <f>'Financial Statements'!D10/'Financial Statements'!D8</f>
        <v>0.55110285412454696</v>
      </c>
    </row>
    <row r="74" spans="2:5" x14ac:dyDescent="0.2">
      <c r="B74" s="3" t="s">
        <v>5</v>
      </c>
      <c r="C74" s="27">
        <f>'Financial Statements'!B11/'Financial Statements'!B8</f>
        <v>5.5981315047371728E-2</v>
      </c>
      <c r="D74" s="27">
        <f>'Financial Statements'!C11/'Financial Statements'!C8</f>
        <v>5.6626673992734071E-2</v>
      </c>
      <c r="E74" s="27">
        <f>'Financial Statements'!D11/'Financial Statements'!D8</f>
        <v>6.6564668597344404E-2</v>
      </c>
    </row>
    <row r="75" spans="2:5" x14ac:dyDescent="0.2">
      <c r="B75" s="1" t="s">
        <v>159</v>
      </c>
      <c r="C75" s="27">
        <f>'Financial Statements'!B13/'Financial Statements'!B8</f>
        <v>0.43309630561360085</v>
      </c>
      <c r="D75" s="27">
        <f>'Financial Statements'!C13/'Financial Statements'!C8</f>
        <v>0.41779359625167778</v>
      </c>
      <c r="E75" s="27">
        <f>'Financial Statements'!D13/'Financial Statements'!D8</f>
        <v>0.38233247727810865</v>
      </c>
    </row>
    <row r="76" spans="2:5" x14ac:dyDescent="0.2">
      <c r="B76" s="1" t="s">
        <v>160</v>
      </c>
    </row>
    <row r="77" spans="2:5" x14ac:dyDescent="0.2">
      <c r="B77" s="3" t="s">
        <v>154</v>
      </c>
      <c r="C77" s="27">
        <f>'Financial Statements'!B15/'Financial Statements'!B8</f>
        <v>6.657148363798665E-2</v>
      </c>
      <c r="D77" s="27">
        <f>'Financial Statements'!C15/'Financial Statements'!C8</f>
        <v>5.9904269074427925E-2</v>
      </c>
      <c r="E77" s="27">
        <f>'Financial Statements'!D15/'Financial Statements'!D8</f>
        <v>6.8309564140393061E-2</v>
      </c>
    </row>
    <row r="78" spans="2:5" x14ac:dyDescent="0.2">
      <c r="B78" s="3" t="s">
        <v>155</v>
      </c>
      <c r="C78" s="27">
        <f>'Financial Statements'!B16/'Financial Statements'!B8</f>
        <v>6.3637378020328261E-2</v>
      </c>
      <c r="D78" s="27">
        <f>'Financial Statements'!C16/'Financial Statements'!C8</f>
        <v>6.006555190163388E-2</v>
      </c>
      <c r="E78" s="27">
        <f>'Financial Statements'!D16/'Financial Statements'!D8</f>
        <v>7.2549769593646979E-2</v>
      </c>
    </row>
    <row r="79" spans="2:5" x14ac:dyDescent="0.2">
      <c r="B79" s="1" t="s">
        <v>161</v>
      </c>
      <c r="C79" s="27">
        <f>'Financial Statements'!B18/'Financial Statements'!B8</f>
        <v>0.30288744395528594</v>
      </c>
      <c r="D79" s="27">
        <f>'Financial Statements'!C18/'Financial Statements'!C8</f>
        <v>0.29782377527561593</v>
      </c>
      <c r="E79" s="27">
        <f>'Financial Statements'!D18/'Financial Statements'!D8</f>
        <v>0.24147314354406862</v>
      </c>
    </row>
    <row r="80" spans="2:5" x14ac:dyDescent="0.2">
      <c r="B80" s="1" t="s">
        <v>162</v>
      </c>
      <c r="C80" s="27">
        <f>'Financial Statements'!B22/'Financial Statements'!B8</f>
        <v>0.25309640705199732</v>
      </c>
      <c r="D80" s="27">
        <f>'Financial Statements'!C22/'Financial Statements'!C8</f>
        <v>0.25881793355694238</v>
      </c>
      <c r="E80" s="27">
        <f>'Financial Statements'!D22/'Financial Statements'!D8</f>
        <v>0.20913611278072236</v>
      </c>
    </row>
    <row r="82" spans="2:5" x14ac:dyDescent="0.2">
      <c r="B82" t="s">
        <v>171</v>
      </c>
      <c r="C82" s="27">
        <f>'Financial Statements'!B21/'Financial Statements'!B20</f>
        <v>0.16204461684424407</v>
      </c>
      <c r="D82" s="27">
        <f>'Financial Statements'!C21/'Financial Statements'!C20</f>
        <v>0.13302260844085087</v>
      </c>
      <c r="E82" s="27">
        <f>'Financial Statements'!D21/'Financial Statements'!D20</f>
        <v>0.14428164731484103</v>
      </c>
    </row>
    <row r="83" spans="2:5" x14ac:dyDescent="0.2">
      <c r="B83" t="s">
        <v>172</v>
      </c>
      <c r="C83" s="27">
        <f>'Financial Statements'!B45/'Financial Statements'!B8</f>
        <v>0.10680702359457102</v>
      </c>
      <c r="D83" s="27">
        <f>'Financial Statements'!C45/'Financial Statements'!C8</f>
        <v>0.10781346957631821</v>
      </c>
      <c r="E83" s="27">
        <f>'Financial Statements'!D45/'Financial Statements'!D8</f>
        <v>0.13393075059650655</v>
      </c>
    </row>
    <row r="84" spans="2:5" x14ac:dyDescent="0.2">
      <c r="B84" t="s">
        <v>173</v>
      </c>
      <c r="C84" s="27">
        <f>'Financial Statements'!B45/'Financial Statements'!B61</f>
        <v>0.28438025401584055</v>
      </c>
      <c r="D84" s="27">
        <f>'Financial Statements'!C45/'Financial Statements'!C61</f>
        <v>0.24281079350616569</v>
      </c>
      <c r="E84" s="27">
        <f>'Financial Statements'!D45/'Financial Statements'!D61</f>
        <v>0.24005432334140783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Gabriel Louis</cp:lastModifiedBy>
  <dcterms:created xsi:type="dcterms:W3CDTF">2020-05-18T16:32:37Z</dcterms:created>
  <dcterms:modified xsi:type="dcterms:W3CDTF">2023-12-15T00:38:10Z</dcterms:modified>
</cp:coreProperties>
</file>