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"/>
    </mc:Choice>
  </mc:AlternateContent>
  <xr:revisionPtr revIDLastSave="0" documentId="8_{8005417A-1E78-4A74-9897-AD043CB3044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3" l="1"/>
  <c r="G77" i="3"/>
  <c r="H77" i="3"/>
  <c r="F78" i="3"/>
  <c r="G78" i="3"/>
  <c r="H78" i="3"/>
  <c r="F79" i="3"/>
  <c r="G79" i="3"/>
  <c r="H79" i="3"/>
  <c r="F81" i="3"/>
  <c r="G81" i="3"/>
  <c r="H81" i="3"/>
  <c r="F82" i="3"/>
  <c r="G82" i="3"/>
  <c r="H82" i="3"/>
  <c r="F83" i="3"/>
  <c r="G83" i="3"/>
  <c r="H83" i="3"/>
  <c r="F85" i="3"/>
  <c r="G85" i="3"/>
  <c r="H85" i="3"/>
  <c r="F86" i="3"/>
  <c r="G86" i="3"/>
  <c r="H86" i="3"/>
  <c r="F87" i="3"/>
  <c r="G87" i="3"/>
  <c r="H87" i="3"/>
  <c r="F90" i="3"/>
  <c r="G90" i="3"/>
  <c r="H90" i="3"/>
  <c r="F91" i="3"/>
  <c r="G91" i="3"/>
  <c r="H91" i="3"/>
  <c r="F92" i="3"/>
  <c r="G92" i="3"/>
  <c r="H92" i="3"/>
  <c r="F96" i="3"/>
  <c r="G96" i="3"/>
  <c r="H96" i="3"/>
  <c r="F97" i="3"/>
  <c r="G97" i="3"/>
  <c r="H97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5" i="3"/>
  <c r="G105" i="3"/>
  <c r="H105" i="3"/>
  <c r="F106" i="3"/>
  <c r="G106" i="3"/>
  <c r="H106" i="3"/>
  <c r="F107" i="3"/>
  <c r="G107" i="3"/>
  <c r="H107" i="3"/>
  <c r="F108" i="3"/>
  <c r="G108" i="3"/>
  <c r="H108" i="3"/>
  <c r="F110" i="3"/>
  <c r="G110" i="3"/>
  <c r="H110" i="3"/>
  <c r="F113" i="3"/>
  <c r="G113" i="3"/>
  <c r="H113" i="3"/>
  <c r="F114" i="3"/>
  <c r="G114" i="3"/>
  <c r="H114" i="3"/>
  <c r="F115" i="3"/>
  <c r="G115" i="3"/>
  <c r="H115" i="3"/>
  <c r="F116" i="3"/>
  <c r="G116" i="3"/>
  <c r="H116" i="3"/>
  <c r="F117" i="3"/>
  <c r="G117" i="3"/>
  <c r="H117" i="3"/>
  <c r="F118" i="3"/>
  <c r="G118" i="3"/>
  <c r="H118" i="3"/>
  <c r="F122" i="3"/>
  <c r="G122" i="3"/>
  <c r="H122" i="3"/>
  <c r="F123" i="3"/>
  <c r="G123" i="3"/>
  <c r="H123" i="3"/>
  <c r="F124" i="3"/>
  <c r="G124" i="3"/>
  <c r="H124" i="3"/>
  <c r="F126" i="3"/>
  <c r="G126" i="3"/>
  <c r="H126" i="3"/>
  <c r="F128" i="3"/>
  <c r="G128" i="3"/>
  <c r="H128" i="3"/>
  <c r="F129" i="3"/>
  <c r="G129" i="3"/>
  <c r="H129" i="3"/>
  <c r="F134" i="3"/>
  <c r="G134" i="3"/>
  <c r="H134" i="3"/>
  <c r="F135" i="3"/>
  <c r="G135" i="3"/>
  <c r="H135" i="3"/>
  <c r="F137" i="3"/>
  <c r="G137" i="3"/>
  <c r="H137" i="3"/>
  <c r="F138" i="3"/>
  <c r="G138" i="3"/>
  <c r="H138" i="3"/>
  <c r="F139" i="3"/>
  <c r="G139" i="3"/>
  <c r="H139" i="3"/>
  <c r="F140" i="3"/>
  <c r="G140" i="3"/>
  <c r="H140" i="3"/>
  <c r="F144" i="3"/>
  <c r="G144" i="3"/>
  <c r="H144" i="3"/>
  <c r="F145" i="3"/>
  <c r="G145" i="3"/>
  <c r="H145" i="3"/>
  <c r="E68" i="1"/>
  <c r="E67" i="1"/>
  <c r="E61" i="1"/>
  <c r="E60" i="1"/>
  <c r="E55" i="1"/>
  <c r="E47" i="1"/>
  <c r="E46" i="1"/>
  <c r="E41" i="1"/>
  <c r="E17" i="1"/>
  <c r="E12" i="1"/>
  <c r="E8" i="1"/>
  <c r="E13" i="1" s="1"/>
  <c r="E18" i="1" s="1"/>
  <c r="E20" i="1" s="1"/>
  <c r="E22" i="1" s="1"/>
  <c r="C45" i="3"/>
  <c r="D45" i="3"/>
  <c r="E45" i="3"/>
  <c r="D60" i="3"/>
  <c r="E60" i="3"/>
  <c r="C60" i="3"/>
  <c r="D66" i="3"/>
  <c r="E66" i="3"/>
  <c r="C66" i="3"/>
  <c r="C56" i="3"/>
  <c r="D56" i="3"/>
  <c r="E56" i="3"/>
  <c r="C67" i="3" l="1"/>
  <c r="C70" i="3" s="1"/>
  <c r="D67" i="3"/>
  <c r="D70" i="3" s="1"/>
  <c r="E67" i="3"/>
  <c r="E70" i="3" s="1"/>
  <c r="E46" i="3"/>
  <c r="D46" i="3"/>
  <c r="C46" i="3"/>
  <c r="B119" i="1"/>
  <c r="C119" i="1"/>
  <c r="D119" i="1"/>
  <c r="B115" i="1"/>
  <c r="C115" i="1"/>
  <c r="D115" i="1"/>
  <c r="D107" i="1" l="1"/>
  <c r="C107" i="1"/>
  <c r="B107" i="1"/>
  <c r="D98" i="1"/>
  <c r="C98" i="1"/>
  <c r="B98" i="1"/>
  <c r="D67" i="1" l="1"/>
  <c r="C67" i="1"/>
  <c r="B67" i="1"/>
  <c r="D60" i="1"/>
  <c r="C60" i="1"/>
  <c r="B60" i="1"/>
  <c r="D55" i="1"/>
  <c r="C55" i="1"/>
  <c r="B55" i="1"/>
  <c r="C7" i="3" s="1"/>
  <c r="D46" i="1"/>
  <c r="C46" i="1"/>
  <c r="B46" i="1"/>
  <c r="B47" i="1" s="1"/>
  <c r="D41" i="1"/>
  <c r="C41" i="1"/>
  <c r="B41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2" i="1" s="1"/>
  <c r="C33" i="1"/>
  <c r="C72" i="1" s="1"/>
  <c r="B33" i="1"/>
  <c r="B72" i="1" s="1"/>
  <c r="C13" i="1" l="1"/>
  <c r="D36" i="3"/>
  <c r="D11" i="3"/>
  <c r="D35" i="3"/>
  <c r="D34" i="3"/>
  <c r="D10" i="3"/>
  <c r="D9" i="3"/>
  <c r="E9" i="3"/>
  <c r="E10" i="3"/>
  <c r="D13" i="1"/>
  <c r="E34" i="3"/>
  <c r="E11" i="3"/>
  <c r="E36" i="3"/>
  <c r="E35" i="3"/>
  <c r="C8" i="3"/>
  <c r="C14" i="3"/>
  <c r="C13" i="3" s="1"/>
  <c r="C6" i="3"/>
  <c r="C5" i="3"/>
  <c r="C43" i="3"/>
  <c r="C42" i="3" s="1"/>
  <c r="C25" i="3"/>
  <c r="C27" i="3"/>
  <c r="C36" i="3"/>
  <c r="C35" i="3"/>
  <c r="C11" i="3"/>
  <c r="C12" i="3" s="1"/>
  <c r="C34" i="3"/>
  <c r="C26" i="3"/>
  <c r="C10" i="3"/>
  <c r="C9" i="3"/>
  <c r="C61" i="1"/>
  <c r="C68" i="1" s="1"/>
  <c r="D7" i="3"/>
  <c r="D8" i="3"/>
  <c r="D14" i="3"/>
  <c r="D13" i="3" s="1"/>
  <c r="D6" i="3"/>
  <c r="D5" i="3"/>
  <c r="D43" i="3"/>
  <c r="D42" i="3" s="1"/>
  <c r="D25" i="3"/>
  <c r="D27" i="3"/>
  <c r="E8" i="3"/>
  <c r="E43" i="3"/>
  <c r="E42" i="3" s="1"/>
  <c r="E25" i="3"/>
  <c r="E27" i="3"/>
  <c r="E7" i="3"/>
  <c r="E6" i="3"/>
  <c r="E14" i="3"/>
  <c r="E13" i="3" s="1"/>
  <c r="E5" i="3"/>
  <c r="B61" i="1"/>
  <c r="B68" i="1" s="1"/>
  <c r="B13" i="1"/>
  <c r="C17" i="3" s="1"/>
  <c r="C47" i="1"/>
  <c r="D61" i="1"/>
  <c r="D68" i="1" s="1"/>
  <c r="D47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12" i="3" l="1"/>
  <c r="D12" i="3"/>
  <c r="D18" i="1"/>
  <c r="D20" i="1" s="1"/>
  <c r="D22" i="1" s="1"/>
  <c r="E17" i="3"/>
  <c r="E26" i="3"/>
  <c r="D116" i="1"/>
  <c r="C116" i="1"/>
  <c r="D26" i="3"/>
  <c r="B116" i="1"/>
  <c r="B18" i="1"/>
  <c r="B20" i="1" s="1"/>
  <c r="C18" i="1"/>
  <c r="C20" i="1" s="1"/>
  <c r="C22" i="1" s="1"/>
  <c r="D17" i="3"/>
  <c r="A24" i="3"/>
  <c r="A25" i="3" s="1"/>
  <c r="A26" i="3" s="1"/>
  <c r="A27" i="3" s="1"/>
  <c r="A28" i="3" s="1"/>
  <c r="A29" i="3" s="1"/>
  <c r="A30" i="3" s="1"/>
  <c r="C75" i="1" l="1"/>
  <c r="C90" i="1" s="1"/>
  <c r="D49" i="3"/>
  <c r="D41" i="3"/>
  <c r="D37" i="3"/>
  <c r="D55" i="3"/>
  <c r="D21" i="3"/>
  <c r="D48" i="3"/>
  <c r="D22" i="3"/>
  <c r="D47" i="3"/>
  <c r="B75" i="1"/>
  <c r="B90" i="1" s="1"/>
  <c r="B22" i="1"/>
  <c r="D75" i="1"/>
  <c r="D90" i="1" s="1"/>
  <c r="E48" i="3"/>
  <c r="E55" i="3"/>
  <c r="E41" i="3"/>
  <c r="E37" i="3"/>
  <c r="E21" i="3"/>
  <c r="E47" i="3"/>
  <c r="E22" i="3"/>
  <c r="E49" i="3"/>
  <c r="A33" i="3"/>
  <c r="A39" i="3" s="1"/>
  <c r="A40" i="3" s="1"/>
  <c r="A41" i="3" s="1"/>
  <c r="A42" i="3" s="1"/>
  <c r="A43" i="3" s="1"/>
  <c r="A44" i="3" s="1"/>
  <c r="A46" i="3" s="1"/>
  <c r="A48" i="3" s="1"/>
  <c r="A50" i="3" s="1"/>
  <c r="G143" i="3" l="1"/>
  <c r="H143" i="3"/>
  <c r="D108" i="1"/>
  <c r="E31" i="3"/>
  <c r="E30" i="3" s="1"/>
  <c r="D28" i="3"/>
  <c r="D29" i="3"/>
  <c r="D20" i="3"/>
  <c r="D19" i="3"/>
  <c r="C31" i="3"/>
  <c r="C30" i="3" s="1"/>
  <c r="B108" i="1"/>
  <c r="C37" i="3"/>
  <c r="C21" i="3"/>
  <c r="C48" i="3"/>
  <c r="C49" i="3"/>
  <c r="C41" i="3"/>
  <c r="C55" i="3"/>
  <c r="C22" i="3"/>
  <c r="C47" i="3"/>
  <c r="E19" i="3"/>
  <c r="E28" i="3"/>
  <c r="E29" i="3"/>
  <c r="E20" i="3"/>
  <c r="E40" i="3"/>
  <c r="E44" i="3"/>
  <c r="D40" i="3"/>
  <c r="D44" i="3"/>
  <c r="C108" i="1"/>
  <c r="D31" i="3"/>
  <c r="D30" i="3" s="1"/>
  <c r="A34" i="3"/>
  <c r="A35" i="3" s="1"/>
  <c r="A36" i="3" s="1"/>
  <c r="A37" i="3" s="1"/>
  <c r="F143" i="3" l="1"/>
  <c r="C28" i="3"/>
  <c r="C20" i="3"/>
  <c r="C19" i="3"/>
  <c r="C29" i="3"/>
  <c r="E50" i="3"/>
  <c r="E18" i="3"/>
  <c r="D50" i="3"/>
  <c r="D18" i="3"/>
  <c r="C40" i="3"/>
  <c r="C44" i="3"/>
  <c r="C18" i="3" l="1"/>
  <c r="C50" i="3"/>
</calcChain>
</file>

<file path=xl/sharedStrings.xml><?xml version="1.0" encoding="utf-8"?>
<sst xmlns="http://schemas.openxmlformats.org/spreadsheetml/2006/main" count="267" uniqueCount="183">
  <si>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</si>
  <si>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</si>
  <si>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</si>
  <si>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</si>
  <si>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</si>
  <si>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</si>
  <si>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</si>
  <si>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</si>
  <si>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</si>
  <si>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</si>
  <si>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</si>
  <si>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</si>
  <si>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</si>
  <si>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</si>
  <si>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</si>
  <si>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</si>
  <si>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</si>
  <si>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</si>
  <si>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</si>
  <si>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</si>
  <si>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</si>
  <si>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</si>
  <si>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</si>
  <si>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</si>
  <si>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</si>
  <si>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</si>
  <si>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</si>
  <si>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</si>
  <si>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</si>
  <si>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</si>
  <si>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</si>
  <si>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</si>
  <si>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</si>
  <si>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</si>
  <si>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</si>
  <si>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</si>
  <si>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</si>
  <si>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</si>
  <si>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</si>
  <si>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</si>
  <si>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</si>
  <si>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</si>
  <si>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</si>
  <si>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</si>
  <si>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</si>
  <si>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</si>
  <si>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</si>
  <si>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</si>
  <si>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</si>
  <si>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</si>
  <si>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</si>
  <si>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</si>
  <si>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</si>
  <si>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</si>
  <si>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</si>
  <si>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</si>
  <si>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</si>
  <si>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</si>
  <si>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</si>
  <si>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</si>
  <si>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</si>
  <si>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</si>
  <si>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</si>
  <si>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</si>
  <si>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</si>
  <si>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</si>
  <si>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</si>
  <si>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</si>
  <si>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</si>
  <si>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</si>
  <si>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</si>
  <si>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</si>
  <si>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</si>
  <si>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</si>
  <si>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</si>
  <si>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</si>
  <si>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</si>
  <si>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</si>
  <si>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</si>
  <si>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</si>
  <si>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</si>
  <si>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</si>
  <si>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</si>
  <si>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</si>
  <si>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</si>
  <si>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</si>
  <si>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</si>
  <si>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</si>
  <si>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</si>
  <si>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</si>
  <si>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</si>
  <si>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</si>
  <si>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</si>
  <si>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</si>
  <si>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</si>
  <si>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</si>
  <si>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</si>
  <si>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</si>
  <si>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</si>
  <si>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</si>
  <si>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</si>
  <si>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</si>
  <si>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</si>
  <si>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</si>
  <si>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</si>
  <si>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</si>
  <si>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</si>
  <si>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</si>
  <si>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</si>
  <si>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</si>
  <si>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</si>
  <si>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</si>
  <si>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</si>
  <si>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</si>
  <si>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</si>
  <si>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</si>
  <si>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</si>
  <si>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</si>
  <si>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</si>
  <si>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</si>
  <si>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</si>
  <si>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</si>
  <si>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</si>
  <si>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</si>
  <si>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</si>
  <si>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</si>
  <si>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</si>
  <si>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</si>
  <si>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</si>
  <si>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</si>
  <si>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</si>
  <si>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</si>
  <si>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</si>
  <si>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</si>
  <si>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</si>
  <si>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</si>
  <si>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</si>
  <si>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</si>
  <si>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</si>
  <si>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</si>
  <si>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</si>
  <si>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</si>
  <si>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</si>
  <si>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</si>
  <si>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</si>
  <si>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</si>
  <si>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</si>
  <si>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</si>
  <si>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</si>
  <si>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</si>
  <si>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Market Stock Price as at 30 September </t>
  </si>
  <si>
    <t>Common Stock Outstanding end Balances</t>
  </si>
  <si>
    <t>Total Debt</t>
  </si>
  <si>
    <t>Total Capital</t>
  </si>
  <si>
    <t xml:space="preserve">Interest Expense </t>
  </si>
  <si>
    <t>Interest Income</t>
  </si>
  <si>
    <t>Net Interest Income</t>
  </si>
  <si>
    <t>Debt Repayment</t>
  </si>
  <si>
    <t>Current Potion of term debt</t>
  </si>
  <si>
    <t>Non-current portion of term debt</t>
  </si>
  <si>
    <t>Non-current portion of term finance leases</t>
  </si>
  <si>
    <t>Current postion of finance leases</t>
  </si>
  <si>
    <t>Commeercial paper</t>
  </si>
  <si>
    <t>EBIAT</t>
  </si>
  <si>
    <t>Total Equity on Stock Price * No.of Shares Outstanding</t>
  </si>
  <si>
    <t>Dividend and Dividend Equivalent Declared</t>
  </si>
  <si>
    <t>Add</t>
  </si>
  <si>
    <t>Total Common Equity on Mkt Stock Price</t>
  </si>
  <si>
    <t xml:space="preserve">Total Debt </t>
  </si>
  <si>
    <t xml:space="preserve">Total Equity and Debt </t>
  </si>
  <si>
    <t>Less</t>
  </si>
  <si>
    <t>Cash and Cash equivalents</t>
  </si>
  <si>
    <t>Current market securities</t>
  </si>
  <si>
    <t>Enterprise Value(EV)</t>
  </si>
  <si>
    <t xml:space="preserve">Each net Sales </t>
  </si>
  <si>
    <t>Gross profit</t>
  </si>
  <si>
    <t>Cost of sales</t>
  </si>
  <si>
    <t>NOPAT=EBIT*(1-Tax Rate%)</t>
  </si>
  <si>
    <t>Tax Rate(%)=1-(EBIAT/EBIT)</t>
  </si>
  <si>
    <t>NOPAT=EBIAT</t>
  </si>
  <si>
    <t>Capex</t>
  </si>
  <si>
    <t>Fixed Assets(PPE)</t>
  </si>
  <si>
    <t>N:B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</si>
</sst>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0" applyNumberFormat="1"/>
    <xf numFmtId="3" fontId="2" fillId="0" borderId="0" xfId="0" applyNumberFormat="1" applyFont="1"/>
    <xf numFmtId="164" fontId="2" fillId="0" borderId="0" xfId="0" applyNumberFormat="1" applyFont="1"/>
    <xf numFmtId="4" fontId="0" fillId="5" borderId="0" xfId="0" applyNumberFormat="1" applyFill="1"/>
    <xf numFmtId="10" fontId="0" fillId="5" borderId="0" xfId="3" applyNumberFormat="1" applyFont="1" applyFill="1"/>
    <xf numFmtId="3" fontId="0" fillId="5" borderId="0" xfId="0" applyNumberFormat="1" applyFill="1"/>
    <xf numFmtId="0" fontId="0" fillId="5" borderId="0" xfId="0" applyFill="1"/>
    <xf numFmtId="4" fontId="0" fillId="5" borderId="0" xfId="3" applyNumberFormat="1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0" applyNumberFormat="1"/>
    <xf numFmtId="10" fontId="0" fillId="0" borderId="0" xfId="3" applyNumberFormat="1" applyFont="1"/>
    <xf numFmtId="0" fontId="0" fillId="0" borderId="0" xfId="0" applyFill="1" applyAlignment="1">
      <alignment horizontal="left" indent="1"/>
    </xf>
    <xf numFmtId="164" fontId="0" fillId="5" borderId="0" xfId="0" applyNumberFormat="1" applyFill="1"/>
    <xf numFmtId="43" fontId="0" fillId="5" borderId="0" xfId="0" applyNumberFormat="1" applyFill="1"/>
    <xf numFmtId="0" fontId="8" fillId="0" borderId="0" xfId="0" applyFont="1"/>
    <xf numFmtId="43" fontId="8" fillId="0" borderId="0" xfId="1" applyFont="1"/>
    <xf numFmtId="43" fontId="2" fillId="0" borderId="0" xfId="0" applyNumberFormat="1" applyFont="1"/>
    <xf numFmtId="43" fontId="2" fillId="0" borderId="2" xfId="0" applyNumberFormat="1" applyFont="1" applyBorder="1"/>
    <xf numFmtId="2" fontId="0" fillId="5" borderId="0" xfId="0" applyNumberFormat="1" applyFill="1"/>
    <xf numFmtId="0" fontId="0" fillId="0" borderId="0" xfId="0" applyBorder="1" applyAlignment="1">
      <alignment horizontal="left" indent="1"/>
    </xf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10" fontId="2" fillId="0" borderId="0" xfId="3" applyNumberFormat="1" applyFont="1"/>
    <xf numFmtId="0" fontId="2" fillId="5" borderId="0" xfId="0" applyFont="1" applyFill="1" applyAlignment="1">
      <alignment horizontal="left" indent="1"/>
    </xf>
    <xf numFmtId="10" fontId="1" fillId="0" borderId="0" xfId="3" applyNumberFormat="1" applyFont="1"/>
    <xf numFmtId="0" fontId="2" fillId="6" borderId="0" xfId="0" applyFont="1" applyFill="1"/>
    <xf numFmtId="0" fontId="0" fillId="6" borderId="0" xfId="0" applyFill="1"/>
    <xf numFmtId="3" fontId="0" fillId="6" borderId="0" xfId="0" applyNumberFormat="1" applyFill="1"/>
    <xf numFmtId="164" fontId="2" fillId="6" borderId="1" xfId="1" applyNumberFormat="1" applyFont="1" applyFill="1" applyBorder="1"/>
    <xf numFmtId="164" fontId="2" fillId="6" borderId="2" xfId="1" applyNumberFormat="1" applyFont="1" applyFill="1" applyBorder="1"/>
    <xf numFmtId="43" fontId="0" fillId="6" borderId="0" xfId="0" applyNumberFormat="1" applyFill="1"/>
    <xf numFmtId="164" fontId="0" fillId="6" borderId="0" xfId="1" applyNumberFormat="1" applyFont="1" applyFill="1"/>
    <xf numFmtId="164" fontId="0" fillId="6" borderId="3" xfId="1" applyNumberFormat="1" applyFont="1" applyFill="1" applyBorder="1"/>
    <xf numFmtId="164" fontId="0" fillId="6" borderId="0" xfId="0" applyNumberFormat="1" applyFill="1"/>
    <xf numFmtId="164" fontId="2" fillId="6" borderId="0" xfId="0" applyNumberFormat="1" applyFont="1" applyFill="1"/>
    <xf numFmtId="164" fontId="2" fillId="6" borderId="0" xfId="1" applyNumberFormat="1" applyFont="1" applyFill="1"/>
    <xf numFmtId="3" fontId="2" fillId="6" borderId="0" xfId="0" applyNumberFormat="1" applyFont="1" applyFill="1"/>
    <xf numFmtId="0" fontId="0" fillId="7" borderId="0" xfId="0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2" fillId="7" borderId="4" xfId="0" applyFont="1" applyFill="1" applyBorder="1"/>
    <xf numFmtId="0" fontId="2" fillId="6" borderId="4" xfId="0" applyFont="1" applyFill="1" applyBorder="1" applyAlignment="1">
      <alignment horizontal="left" indent="1"/>
    </xf>
    <xf numFmtId="0" fontId="0" fillId="6" borderId="0" xfId="0" applyFill="1" applyAlignment="1">
      <alignment horizontal="left" indent="1"/>
    </xf>
    <xf numFmtId="0" fontId="0" fillId="6" borderId="0" xfId="0" applyFill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95</xdr:row>
      <xdr:rowOff>45720</xdr:rowOff>
    </xdr:from>
    <xdr:to>
      <xdr:col>28</xdr:col>
      <xdr:colOff>290143</xdr:colOff>
      <xdr:row>107</xdr:row>
      <xdr:rowOff>114496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A17E6B-1712-434A-8571-38DE98493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7060" y="18364200"/>
          <a:ext cx="6729043" cy="226333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134</xdr:row>
      <xdr:rowOff>0</xdr:rowOff>
    </xdr:from>
    <xdr:to>
      <xdr:col>28</xdr:col>
      <xdr:colOff>206392</xdr:colOff>
      <xdr:row>167</xdr:row>
      <xdr:rowOff>523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A09660-E2FA-4270-8E22-0DCDB75B6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0760" y="25450800"/>
          <a:ext cx="7521592" cy="603556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171</xdr:row>
      <xdr:rowOff>0</xdr:rowOff>
    </xdr:from>
    <xdr:to>
      <xdr:col>27</xdr:col>
      <xdr:colOff>130132</xdr:colOff>
      <xdr:row>187</xdr:row>
      <xdr:rowOff>30736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5A9C5F-1F59-4E36-A6B4-AC70B3B51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00760" y="32034480"/>
          <a:ext cx="6835732" cy="295681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29</xdr:col>
      <xdr:colOff>8255</xdr:colOff>
      <xdr:row>95</xdr:row>
      <xdr:rowOff>145269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EDC7D89-10EF-4F5F-B116-631373DC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10360" y="12832080"/>
          <a:ext cx="7323455" cy="564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0" workbookViewId="0">
      <selection activeCell="A19" sqref="A19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topLeftCell="A49" workbookViewId="0">
      <selection activeCell="F115" sqref="F115"/>
    </sheetView>
  </sheetViews>
  <sheetFormatPr defaultRowHeight="14.4" x14ac:dyDescent="0.3"/>
  <cols>
    <col min="1" max="1" width="135.5546875" customWidth="1"/>
    <col min="2" max="3" width="11.5546875" bestFit="1" customWidth="1"/>
    <col min="4" max="4" width="11.6640625" bestFit="1" customWidth="1"/>
    <col min="5" max="5" width="12.5546875" bestFit="1" customWidth="1"/>
    <col min="6" max="6" width="9.109375" bestFit="1" customWidth="1"/>
    <col min="7" max="7" width="17.21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3" t="s">
        <v>1</v>
      </c>
      <c r="B2" s="33"/>
      <c r="C2" s="33"/>
      <c r="D2" s="33"/>
    </row>
    <row r="3" spans="1:10" x14ac:dyDescent="0.3">
      <c r="B3" s="32" t="s">
        <v>23</v>
      </c>
      <c r="C3" s="32"/>
      <c r="D3" s="32"/>
    </row>
    <row r="4" spans="1:10" x14ac:dyDescent="0.3">
      <c r="B4" s="7">
        <v>2022</v>
      </c>
      <c r="C4" s="7">
        <v>2021</v>
      </c>
      <c r="D4" s="7">
        <v>2020</v>
      </c>
      <c r="E4" s="51">
        <v>2019</v>
      </c>
    </row>
    <row r="5" spans="1:10" x14ac:dyDescent="0.3">
      <c r="A5" t="s">
        <v>3</v>
      </c>
      <c r="E5" s="52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53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53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54">
        <f t="shared" si="0"/>
        <v>260174</v>
      </c>
    </row>
    <row r="9" spans="1:10" x14ac:dyDescent="0.3">
      <c r="A9" t="s">
        <v>7</v>
      </c>
      <c r="B9" s="12"/>
      <c r="C9" s="12"/>
      <c r="D9" s="12"/>
      <c r="E9" s="5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53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53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E12" si="1">+C10+C11</f>
        <v>212981</v>
      </c>
      <c r="D12" s="13">
        <f t="shared" si="1"/>
        <v>169559</v>
      </c>
      <c r="E12" s="54">
        <f t="shared" si="1"/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E13" si="2">+C8-C12</f>
        <v>152836</v>
      </c>
      <c r="D13" s="13">
        <f t="shared" si="2"/>
        <v>104956</v>
      </c>
      <c r="E13" s="54">
        <f t="shared" si="2"/>
        <v>98392</v>
      </c>
    </row>
    <row r="14" spans="1:10" x14ac:dyDescent="0.3">
      <c r="A14" t="s">
        <v>10</v>
      </c>
      <c r="B14" s="12"/>
      <c r="C14" s="12"/>
      <c r="D14" s="12"/>
      <c r="E14" s="5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53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53">
        <v>18245</v>
      </c>
    </row>
    <row r="17" spans="1:6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:E17" si="4">+D15+D16</f>
        <v>38668</v>
      </c>
      <c r="E17" s="54">
        <f t="shared" si="4"/>
        <v>34462</v>
      </c>
    </row>
    <row r="18" spans="1:6" s="21" customFormat="1" x14ac:dyDescent="0.3">
      <c r="A18" s="8" t="s">
        <v>14</v>
      </c>
      <c r="B18" s="13">
        <f>+B13-B17</f>
        <v>119437</v>
      </c>
      <c r="C18" s="13">
        <f t="shared" ref="C18:E18" si="5">+C13-C17</f>
        <v>108949</v>
      </c>
      <c r="D18" s="13">
        <f t="shared" si="5"/>
        <v>66288</v>
      </c>
      <c r="E18" s="54">
        <f t="shared" si="5"/>
        <v>63930</v>
      </c>
    </row>
    <row r="19" spans="1:6" x14ac:dyDescent="0.3">
      <c r="A19" t="s">
        <v>15</v>
      </c>
      <c r="B19" s="12">
        <v>-334</v>
      </c>
      <c r="C19" s="12">
        <v>258</v>
      </c>
      <c r="D19" s="12">
        <v>803</v>
      </c>
      <c r="E19" s="53">
        <v>1807</v>
      </c>
    </row>
    <row r="20" spans="1:6" x14ac:dyDescent="0.3">
      <c r="A20" s="8" t="s">
        <v>16</v>
      </c>
      <c r="B20" s="13">
        <f>+B18+B19</f>
        <v>119103</v>
      </c>
      <c r="C20" s="13">
        <f t="shared" ref="C20:E20" si="6">+C18+C19</f>
        <v>109207</v>
      </c>
      <c r="D20" s="13">
        <f t="shared" si="6"/>
        <v>67091</v>
      </c>
      <c r="E20" s="54">
        <f t="shared" si="6"/>
        <v>65737</v>
      </c>
    </row>
    <row r="21" spans="1:6" x14ac:dyDescent="0.3">
      <c r="A21" t="s">
        <v>17</v>
      </c>
      <c r="B21" s="12">
        <v>19300</v>
      </c>
      <c r="C21" s="12">
        <v>14527</v>
      </c>
      <c r="D21" s="12">
        <v>9680</v>
      </c>
      <c r="E21" s="53">
        <v>10481</v>
      </c>
    </row>
    <row r="22" spans="1:6" ht="15" thickBot="1" x14ac:dyDescent="0.35">
      <c r="A22" s="9" t="s">
        <v>18</v>
      </c>
      <c r="B22" s="14">
        <f>+B20-B21</f>
        <v>99803</v>
      </c>
      <c r="C22" s="14">
        <f t="shared" ref="C22:E22" si="7">+C20-C21</f>
        <v>94680</v>
      </c>
      <c r="D22" s="14">
        <f t="shared" si="7"/>
        <v>57411</v>
      </c>
      <c r="E22" s="55">
        <f t="shared" si="7"/>
        <v>55256</v>
      </c>
    </row>
    <row r="23" spans="1:6" ht="15" thickTop="1" x14ac:dyDescent="0.3">
      <c r="A23" t="s">
        <v>19</v>
      </c>
      <c r="E23" s="52"/>
    </row>
    <row r="24" spans="1:6" x14ac:dyDescent="0.3">
      <c r="A24" s="1" t="s">
        <v>20</v>
      </c>
      <c r="B24" s="10">
        <v>6.15</v>
      </c>
      <c r="C24" s="10">
        <v>5.67</v>
      </c>
      <c r="D24" s="10">
        <v>3.31</v>
      </c>
      <c r="E24" s="56">
        <v>2.99</v>
      </c>
    </row>
    <row r="25" spans="1:6" x14ac:dyDescent="0.3">
      <c r="A25" s="1" t="s">
        <v>21</v>
      </c>
      <c r="B25" s="10">
        <v>6.11</v>
      </c>
      <c r="C25" s="10">
        <v>5.61</v>
      </c>
      <c r="D25" s="10">
        <v>3.28</v>
      </c>
      <c r="E25" s="56">
        <v>2.97</v>
      </c>
    </row>
    <row r="26" spans="1:6" x14ac:dyDescent="0.3">
      <c r="A26" t="s">
        <v>22</v>
      </c>
      <c r="E26" s="52"/>
    </row>
    <row r="27" spans="1:6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53">
        <v>19821510</v>
      </c>
      <c r="F27" s="24"/>
    </row>
    <row r="28" spans="1:6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53">
        <v>20000435</v>
      </c>
    </row>
    <row r="29" spans="1:6" x14ac:dyDescent="0.3">
      <c r="E29" s="52"/>
    </row>
    <row r="30" spans="1:6" x14ac:dyDescent="0.3">
      <c r="B30" s="24"/>
      <c r="C30" s="24"/>
      <c r="D30" s="24"/>
      <c r="E30" s="52"/>
    </row>
    <row r="31" spans="1:6" x14ac:dyDescent="0.3">
      <c r="A31" s="33" t="s">
        <v>24</v>
      </c>
      <c r="B31" s="33"/>
      <c r="C31" s="33"/>
      <c r="D31" s="33"/>
      <c r="E31" s="52"/>
    </row>
    <row r="32" spans="1:6" x14ac:dyDescent="0.3">
      <c r="B32" s="32" t="s">
        <v>142</v>
      </c>
      <c r="C32" s="32"/>
      <c r="D32" s="32"/>
      <c r="E32" s="52"/>
    </row>
    <row r="33" spans="1:5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E33" s="52"/>
    </row>
    <row r="34" spans="1:5" x14ac:dyDescent="0.3">
      <c r="A34" s="7" t="s">
        <v>25</v>
      </c>
      <c r="E34" s="52"/>
    </row>
    <row r="35" spans="1:5" x14ac:dyDescent="0.3">
      <c r="A35" s="1" t="s">
        <v>26</v>
      </c>
      <c r="B35" s="12">
        <v>23646</v>
      </c>
      <c r="C35" s="12">
        <v>34940</v>
      </c>
      <c r="D35" s="12">
        <v>38016</v>
      </c>
      <c r="E35" s="53">
        <v>48844</v>
      </c>
    </row>
    <row r="36" spans="1:5" x14ac:dyDescent="0.3">
      <c r="A36" s="1" t="s">
        <v>27</v>
      </c>
      <c r="B36" s="12">
        <v>24658</v>
      </c>
      <c r="C36" s="12">
        <v>27699</v>
      </c>
      <c r="D36" s="12">
        <v>52927</v>
      </c>
      <c r="E36" s="53">
        <v>51713</v>
      </c>
    </row>
    <row r="37" spans="1:5" x14ac:dyDescent="0.3">
      <c r="A37" s="1" t="s">
        <v>28</v>
      </c>
      <c r="B37" s="12">
        <v>28184</v>
      </c>
      <c r="C37" s="12">
        <v>26278</v>
      </c>
      <c r="D37" s="12">
        <v>16120</v>
      </c>
      <c r="E37" s="53">
        <v>22926</v>
      </c>
    </row>
    <row r="38" spans="1:5" x14ac:dyDescent="0.3">
      <c r="A38" s="1" t="s">
        <v>29</v>
      </c>
      <c r="B38" s="12">
        <v>4946</v>
      </c>
      <c r="C38" s="12">
        <v>6580</v>
      </c>
      <c r="D38" s="12">
        <v>4061</v>
      </c>
      <c r="E38" s="57">
        <v>4106</v>
      </c>
    </row>
    <row r="39" spans="1:5" x14ac:dyDescent="0.3">
      <c r="A39" s="1" t="s">
        <v>47</v>
      </c>
      <c r="B39" s="12">
        <v>32748</v>
      </c>
      <c r="C39" s="12">
        <v>25228</v>
      </c>
      <c r="D39" s="12">
        <v>21325</v>
      </c>
      <c r="E39" s="53">
        <v>22878</v>
      </c>
    </row>
    <row r="40" spans="1:5" x14ac:dyDescent="0.3">
      <c r="A40" s="1" t="s">
        <v>30</v>
      </c>
      <c r="B40" s="12">
        <v>21223</v>
      </c>
      <c r="C40" s="12">
        <v>14111</v>
      </c>
      <c r="D40" s="12">
        <v>11264</v>
      </c>
      <c r="E40" s="53">
        <v>12352</v>
      </c>
    </row>
    <row r="41" spans="1:5" x14ac:dyDescent="0.3">
      <c r="A41" s="8" t="s">
        <v>31</v>
      </c>
      <c r="B41" s="13">
        <f>+SUM(B35:B40)</f>
        <v>135405</v>
      </c>
      <c r="C41" s="13">
        <f t="shared" ref="C41:E41" si="9">+SUM(C35:C40)</f>
        <v>134836</v>
      </c>
      <c r="D41" s="13">
        <f t="shared" si="9"/>
        <v>143713</v>
      </c>
      <c r="E41" s="54">
        <f t="shared" si="9"/>
        <v>162819</v>
      </c>
    </row>
    <row r="42" spans="1:5" x14ac:dyDescent="0.3">
      <c r="A42" t="s">
        <v>48</v>
      </c>
      <c r="B42" s="12"/>
      <c r="C42" s="12"/>
      <c r="D42" s="12"/>
      <c r="E42" s="52"/>
    </row>
    <row r="43" spans="1:5" x14ac:dyDescent="0.3">
      <c r="A43" s="1" t="s">
        <v>27</v>
      </c>
      <c r="B43" s="12">
        <v>120805</v>
      </c>
      <c r="C43" s="12">
        <v>127877</v>
      </c>
      <c r="D43" s="12">
        <v>100887</v>
      </c>
      <c r="E43" s="53">
        <v>105341</v>
      </c>
    </row>
    <row r="44" spans="1:5" x14ac:dyDescent="0.3">
      <c r="A44" s="1" t="s">
        <v>32</v>
      </c>
      <c r="B44" s="12">
        <v>42117</v>
      </c>
      <c r="C44" s="12">
        <v>39440</v>
      </c>
      <c r="D44" s="12">
        <v>36766</v>
      </c>
      <c r="E44" s="53">
        <v>37378</v>
      </c>
    </row>
    <row r="45" spans="1:5" x14ac:dyDescent="0.3">
      <c r="A45" s="1" t="s">
        <v>49</v>
      </c>
      <c r="B45" s="12">
        <v>54428</v>
      </c>
      <c r="C45" s="12">
        <v>48849</v>
      </c>
      <c r="D45" s="12">
        <v>42522</v>
      </c>
      <c r="E45" s="53">
        <v>32978</v>
      </c>
    </row>
    <row r="46" spans="1:5" x14ac:dyDescent="0.3">
      <c r="A46" s="8" t="s">
        <v>50</v>
      </c>
      <c r="B46" s="13">
        <f>+SUM(B43:B45)</f>
        <v>217350</v>
      </c>
      <c r="C46" s="13">
        <f t="shared" ref="C46:E46" si="10">+SUM(C43:C45)</f>
        <v>216166</v>
      </c>
      <c r="D46" s="13">
        <f t="shared" si="10"/>
        <v>180175</v>
      </c>
      <c r="E46" s="54">
        <f t="shared" si="10"/>
        <v>175697</v>
      </c>
    </row>
    <row r="47" spans="1:5" ht="15" thickBot="1" x14ac:dyDescent="0.35">
      <c r="A47" s="9" t="s">
        <v>33</v>
      </c>
      <c r="B47" s="14">
        <f>+B41+B46</f>
        <v>352755</v>
      </c>
      <c r="C47" s="14">
        <f t="shared" ref="C47:E47" si="11">+C41+C46</f>
        <v>351002</v>
      </c>
      <c r="D47" s="14">
        <f t="shared" si="11"/>
        <v>323888</v>
      </c>
      <c r="E47" s="55">
        <f t="shared" si="11"/>
        <v>338516</v>
      </c>
    </row>
    <row r="48" spans="1:5" ht="15" thickTop="1" x14ac:dyDescent="0.3">
      <c r="E48" s="52"/>
    </row>
    <row r="49" spans="1:7" x14ac:dyDescent="0.3">
      <c r="A49" t="s">
        <v>34</v>
      </c>
      <c r="E49" s="52"/>
    </row>
    <row r="50" spans="1:7" x14ac:dyDescent="0.3">
      <c r="A50" s="1" t="s">
        <v>35</v>
      </c>
      <c r="B50" s="12">
        <v>64115</v>
      </c>
      <c r="C50" s="12">
        <v>54763</v>
      </c>
      <c r="D50" s="12">
        <v>42296</v>
      </c>
      <c r="E50" s="53">
        <v>46236</v>
      </c>
    </row>
    <row r="51" spans="1:7" x14ac:dyDescent="0.3">
      <c r="A51" s="1" t="s">
        <v>36</v>
      </c>
      <c r="B51" s="12">
        <v>60845</v>
      </c>
      <c r="C51" s="12">
        <v>47493</v>
      </c>
      <c r="D51" s="12">
        <v>42684</v>
      </c>
      <c r="E51" s="53">
        <v>37720</v>
      </c>
    </row>
    <row r="52" spans="1:7" x14ac:dyDescent="0.3">
      <c r="A52" s="1" t="s">
        <v>37</v>
      </c>
      <c r="B52" s="12">
        <v>7912</v>
      </c>
      <c r="C52" s="12">
        <v>7612</v>
      </c>
      <c r="D52" s="12">
        <v>6643</v>
      </c>
      <c r="E52" s="53">
        <v>5522</v>
      </c>
    </row>
    <row r="53" spans="1:7" x14ac:dyDescent="0.3">
      <c r="A53" s="1" t="s">
        <v>38</v>
      </c>
      <c r="B53" s="12">
        <v>9982</v>
      </c>
      <c r="C53" s="12">
        <v>6000</v>
      </c>
      <c r="D53" s="12">
        <v>4996</v>
      </c>
      <c r="E53" s="53">
        <v>5980</v>
      </c>
    </row>
    <row r="54" spans="1:7" x14ac:dyDescent="0.3">
      <c r="A54" s="1" t="s">
        <v>39</v>
      </c>
      <c r="B54" s="12">
        <v>11128</v>
      </c>
      <c r="C54" s="12">
        <v>9613</v>
      </c>
      <c r="D54" s="12">
        <v>8773</v>
      </c>
      <c r="E54" s="53">
        <v>10260</v>
      </c>
    </row>
    <row r="55" spans="1:7" x14ac:dyDescent="0.3">
      <c r="A55" s="8" t="s">
        <v>40</v>
      </c>
      <c r="B55" s="13">
        <f>+SUM(B50:B54)</f>
        <v>153982</v>
      </c>
      <c r="C55" s="13">
        <f t="shared" ref="C55:E55" si="12">+SUM(C50:C54)</f>
        <v>125481</v>
      </c>
      <c r="D55" s="13">
        <f t="shared" si="12"/>
        <v>105392</v>
      </c>
      <c r="E55" s="54">
        <f t="shared" si="12"/>
        <v>105718</v>
      </c>
    </row>
    <row r="56" spans="1:7" x14ac:dyDescent="0.3">
      <c r="A56" t="s">
        <v>51</v>
      </c>
      <c r="B56" s="12"/>
      <c r="C56" s="12"/>
      <c r="D56" s="12"/>
      <c r="E56" s="52"/>
    </row>
    <row r="57" spans="1:7" x14ac:dyDescent="0.3">
      <c r="A57" s="1" t="s">
        <v>37</v>
      </c>
      <c r="B57" s="12"/>
      <c r="C57" s="12"/>
      <c r="D57" s="12"/>
      <c r="E57" s="52"/>
    </row>
    <row r="58" spans="1:7" x14ac:dyDescent="0.3">
      <c r="A58" s="1" t="s">
        <v>39</v>
      </c>
      <c r="B58" s="12">
        <v>98959</v>
      </c>
      <c r="C58" s="12">
        <v>109106</v>
      </c>
      <c r="D58" s="12">
        <v>98667</v>
      </c>
      <c r="E58" s="53">
        <v>91807</v>
      </c>
    </row>
    <row r="59" spans="1:7" x14ac:dyDescent="0.3">
      <c r="A59" s="1" t="s">
        <v>52</v>
      </c>
      <c r="B59" s="12">
        <v>49142</v>
      </c>
      <c r="C59" s="12">
        <v>53325</v>
      </c>
      <c r="D59" s="12">
        <v>54490</v>
      </c>
      <c r="E59" s="53">
        <v>50503</v>
      </c>
    </row>
    <row r="60" spans="1:7" x14ac:dyDescent="0.3">
      <c r="A60" s="23" t="s">
        <v>53</v>
      </c>
      <c r="B60" s="22">
        <f>+B58+B59</f>
        <v>148101</v>
      </c>
      <c r="C60" s="22">
        <f t="shared" ref="C60:E60" si="13">+C58+C59</f>
        <v>162431</v>
      </c>
      <c r="D60" s="22">
        <f t="shared" si="13"/>
        <v>153157</v>
      </c>
      <c r="E60" s="58">
        <f t="shared" si="13"/>
        <v>142310</v>
      </c>
    </row>
    <row r="61" spans="1:7" x14ac:dyDescent="0.3">
      <c r="A61" s="8" t="s">
        <v>41</v>
      </c>
      <c r="B61" s="13">
        <f>+B55+B60</f>
        <v>302083</v>
      </c>
      <c r="C61" s="13">
        <f t="shared" ref="C61:E61" si="14">+C55+C60</f>
        <v>287912</v>
      </c>
      <c r="D61" s="13">
        <f t="shared" si="14"/>
        <v>258549</v>
      </c>
      <c r="E61" s="54">
        <f t="shared" si="14"/>
        <v>248028</v>
      </c>
    </row>
    <row r="62" spans="1:7" x14ac:dyDescent="0.3">
      <c r="B62" s="12"/>
      <c r="C62" s="12"/>
      <c r="D62" s="12"/>
      <c r="E62" s="52"/>
    </row>
    <row r="63" spans="1:7" x14ac:dyDescent="0.3">
      <c r="A63" t="s">
        <v>42</v>
      </c>
      <c r="B63" s="12"/>
      <c r="C63" s="12"/>
      <c r="D63" s="12"/>
      <c r="E63" s="52"/>
    </row>
    <row r="64" spans="1:7" x14ac:dyDescent="0.3">
      <c r="A64" s="1" t="s">
        <v>54</v>
      </c>
      <c r="B64" s="12">
        <v>64849</v>
      </c>
      <c r="C64" s="12">
        <v>57365</v>
      </c>
      <c r="D64" s="12">
        <v>50779</v>
      </c>
      <c r="E64" s="59">
        <v>45174</v>
      </c>
      <c r="G64" s="24"/>
    </row>
    <row r="65" spans="1:5" x14ac:dyDescent="0.3">
      <c r="A65" s="1" t="s">
        <v>43</v>
      </c>
      <c r="B65" s="12">
        <v>-3068</v>
      </c>
      <c r="C65" s="12">
        <v>5562</v>
      </c>
      <c r="D65" s="12">
        <v>14966</v>
      </c>
      <c r="E65" s="53">
        <v>45898</v>
      </c>
    </row>
    <row r="66" spans="1:5" x14ac:dyDescent="0.3">
      <c r="A66" s="1" t="s">
        <v>44</v>
      </c>
      <c r="B66" s="12">
        <v>-11109</v>
      </c>
      <c r="C66" s="12">
        <v>163</v>
      </c>
      <c r="D66" s="12">
        <v>-406</v>
      </c>
      <c r="E66" s="57">
        <v>-584</v>
      </c>
    </row>
    <row r="67" spans="1:5" x14ac:dyDescent="0.3">
      <c r="A67" s="8" t="s">
        <v>45</v>
      </c>
      <c r="B67" s="13">
        <f>+SUM(B64:B66)</f>
        <v>50672</v>
      </c>
      <c r="C67" s="13">
        <f t="shared" ref="C67:E67" si="15">+SUM(C64:C66)</f>
        <v>63090</v>
      </c>
      <c r="D67" s="13">
        <f t="shared" si="15"/>
        <v>65339</v>
      </c>
      <c r="E67" s="54">
        <f t="shared" si="15"/>
        <v>90488</v>
      </c>
    </row>
    <row r="68" spans="1:5" ht="15" thickBot="1" x14ac:dyDescent="0.35">
      <c r="A68" s="9" t="s">
        <v>46</v>
      </c>
      <c r="B68" s="14">
        <f>+B67+B61</f>
        <v>352755</v>
      </c>
      <c r="C68" s="14">
        <f t="shared" ref="C68:E68" si="16">+C67+C61</f>
        <v>351002</v>
      </c>
      <c r="D68" s="14">
        <f t="shared" si="16"/>
        <v>323888</v>
      </c>
      <c r="E68" s="55">
        <f t="shared" si="16"/>
        <v>338516</v>
      </c>
    </row>
    <row r="69" spans="1:5" ht="15" thickTop="1" x14ac:dyDescent="0.3"/>
    <row r="70" spans="1:5" x14ac:dyDescent="0.3">
      <c r="A70" s="33" t="s">
        <v>55</v>
      </c>
      <c r="B70" s="33"/>
      <c r="C70" s="33"/>
      <c r="D70" s="33"/>
    </row>
    <row r="71" spans="1:5" x14ac:dyDescent="0.3">
      <c r="B71" s="32" t="s">
        <v>23</v>
      </c>
      <c r="C71" s="32"/>
      <c r="D71" s="32"/>
    </row>
    <row r="72" spans="1:5" x14ac:dyDescent="0.3">
      <c r="B72" s="7">
        <f>+B33</f>
        <v>2022</v>
      </c>
      <c r="C72" s="7">
        <f>+C33</f>
        <v>2021</v>
      </c>
      <c r="D72" s="7">
        <f>+D33</f>
        <v>2020</v>
      </c>
    </row>
    <row r="74" spans="1:5" x14ac:dyDescent="0.3">
      <c r="A74" s="7" t="s">
        <v>56</v>
      </c>
      <c r="B74" s="15"/>
      <c r="C74" s="15"/>
      <c r="D74" s="15"/>
    </row>
    <row r="75" spans="1:5" x14ac:dyDescent="0.3">
      <c r="A75" t="s">
        <v>57</v>
      </c>
      <c r="B75" s="12">
        <f>+B22</f>
        <v>99803</v>
      </c>
      <c r="C75" s="12">
        <f>+C22</f>
        <v>94680</v>
      </c>
      <c r="D75" s="12">
        <f>+D22</f>
        <v>57411</v>
      </c>
    </row>
    <row r="76" spans="1:5" x14ac:dyDescent="0.3">
      <c r="A76" s="11" t="s">
        <v>18</v>
      </c>
      <c r="B76" s="15"/>
      <c r="C76" s="15"/>
      <c r="D76" s="15"/>
    </row>
    <row r="77" spans="1:5" x14ac:dyDescent="0.3">
      <c r="A77" s="1" t="s">
        <v>58</v>
      </c>
      <c r="B77" s="12"/>
      <c r="C77" s="12"/>
      <c r="D77" s="12"/>
    </row>
    <row r="78" spans="1:5" x14ac:dyDescent="0.3">
      <c r="A78" s="3" t="s">
        <v>59</v>
      </c>
      <c r="B78" s="12">
        <v>11104</v>
      </c>
      <c r="C78" s="12">
        <v>11284</v>
      </c>
      <c r="D78" s="12">
        <v>11056</v>
      </c>
    </row>
    <row r="79" spans="1:5" x14ac:dyDescent="0.3">
      <c r="A79" s="3" t="s">
        <v>83</v>
      </c>
      <c r="B79" s="12">
        <v>9038</v>
      </c>
      <c r="C79" s="12">
        <v>7906</v>
      </c>
      <c r="D79" s="12">
        <v>6829</v>
      </c>
    </row>
    <row r="80" spans="1:5" x14ac:dyDescent="0.3">
      <c r="A80" s="3" t="s">
        <v>60</v>
      </c>
      <c r="B80" s="12">
        <v>895</v>
      </c>
      <c r="C80" s="12">
        <v>-4774</v>
      </c>
      <c r="D80" s="12">
        <v>-215</v>
      </c>
    </row>
    <row r="81" spans="1:4" x14ac:dyDescent="0.3">
      <c r="A81" s="3" t="s">
        <v>61</v>
      </c>
      <c r="B81" s="12">
        <v>111</v>
      </c>
      <c r="C81" s="12">
        <v>-147</v>
      </c>
      <c r="D81" s="12">
        <v>-97</v>
      </c>
    </row>
    <row r="82" spans="1:4" x14ac:dyDescent="0.3">
      <c r="A82" t="s">
        <v>62</v>
      </c>
      <c r="B82" s="12"/>
      <c r="C82" s="12"/>
      <c r="D82" s="12"/>
    </row>
    <row r="83" spans="1:4" x14ac:dyDescent="0.3">
      <c r="A83" s="1" t="s">
        <v>28</v>
      </c>
      <c r="B83" s="12">
        <v>-1823</v>
      </c>
      <c r="C83" s="12">
        <v>-10125</v>
      </c>
      <c r="D83" s="12">
        <v>6917</v>
      </c>
    </row>
    <row r="84" spans="1:4" x14ac:dyDescent="0.3">
      <c r="A84" s="1" t="s">
        <v>29</v>
      </c>
      <c r="B84" s="12">
        <v>1484</v>
      </c>
      <c r="C84" s="12">
        <v>-2642</v>
      </c>
      <c r="D84" s="12">
        <v>-127</v>
      </c>
    </row>
    <row r="85" spans="1:4" x14ac:dyDescent="0.3">
      <c r="A85" s="1" t="s">
        <v>47</v>
      </c>
      <c r="B85" s="12">
        <v>-7520</v>
      </c>
      <c r="C85" s="12">
        <v>-3903</v>
      </c>
      <c r="D85" s="12">
        <v>1553</v>
      </c>
    </row>
    <row r="86" spans="1:4" x14ac:dyDescent="0.3">
      <c r="A86" s="1" t="s">
        <v>84</v>
      </c>
      <c r="B86" s="12">
        <v>-6499</v>
      </c>
      <c r="C86" s="12">
        <v>-8042</v>
      </c>
      <c r="D86" s="12">
        <v>-9588</v>
      </c>
    </row>
    <row r="87" spans="1:4" x14ac:dyDescent="0.3">
      <c r="A87" s="1" t="s">
        <v>35</v>
      </c>
      <c r="B87" s="12">
        <v>9448</v>
      </c>
      <c r="C87" s="12">
        <v>12326</v>
      </c>
      <c r="D87" s="12">
        <v>-4062</v>
      </c>
    </row>
    <row r="88" spans="1:4" x14ac:dyDescent="0.3">
      <c r="A88" s="1" t="s">
        <v>37</v>
      </c>
      <c r="B88" s="12">
        <v>478</v>
      </c>
      <c r="C88" s="12">
        <v>1676</v>
      </c>
      <c r="D88" s="12">
        <v>2081</v>
      </c>
    </row>
    <row r="89" spans="1:4" x14ac:dyDescent="0.3">
      <c r="A89" s="1" t="s">
        <v>85</v>
      </c>
      <c r="B89" s="12">
        <v>5632</v>
      </c>
      <c r="C89" s="12">
        <v>5799</v>
      </c>
      <c r="D89" s="12">
        <v>8916</v>
      </c>
    </row>
    <row r="90" spans="1:4" x14ac:dyDescent="0.3">
      <c r="A90" s="8" t="s">
        <v>63</v>
      </c>
      <c r="B90" s="13">
        <f>+SUM(B75:B89)</f>
        <v>122151</v>
      </c>
      <c r="C90" s="13">
        <f t="shared" ref="C90:D90" si="17">+SUM(C75:C89)</f>
        <v>104038</v>
      </c>
      <c r="D90" s="13">
        <f t="shared" si="17"/>
        <v>80674</v>
      </c>
    </row>
    <row r="91" spans="1:4" x14ac:dyDescent="0.3">
      <c r="A91" s="7" t="s">
        <v>64</v>
      </c>
      <c r="B91" s="12"/>
      <c r="C91" s="12"/>
      <c r="D91" s="12"/>
    </row>
    <row r="92" spans="1:4" x14ac:dyDescent="0.3">
      <c r="A92" s="1" t="s">
        <v>65</v>
      </c>
      <c r="B92" s="12">
        <v>-76923</v>
      </c>
      <c r="C92" s="12">
        <v>-109558</v>
      </c>
      <c r="D92" s="12">
        <v>-114938</v>
      </c>
    </row>
    <row r="93" spans="1:4" x14ac:dyDescent="0.3">
      <c r="A93" s="1" t="s">
        <v>66</v>
      </c>
      <c r="B93" s="12">
        <v>29917</v>
      </c>
      <c r="C93" s="12">
        <v>59023</v>
      </c>
      <c r="D93" s="12">
        <v>69918</v>
      </c>
    </row>
    <row r="94" spans="1:4" x14ac:dyDescent="0.3">
      <c r="A94" s="1" t="s">
        <v>67</v>
      </c>
      <c r="B94" s="12">
        <v>37446</v>
      </c>
      <c r="C94" s="12">
        <v>47460</v>
      </c>
      <c r="D94" s="12">
        <v>50473</v>
      </c>
    </row>
    <row r="95" spans="1:4" x14ac:dyDescent="0.3">
      <c r="A95" s="1" t="s">
        <v>68</v>
      </c>
      <c r="B95" s="12">
        <v>-10708</v>
      </c>
      <c r="C95" s="12">
        <v>-11085</v>
      </c>
      <c r="D95" s="12">
        <v>-7309</v>
      </c>
    </row>
    <row r="96" spans="1:4" x14ac:dyDescent="0.3">
      <c r="A96" s="1" t="s">
        <v>69</v>
      </c>
      <c r="B96" s="12">
        <v>-306</v>
      </c>
      <c r="C96" s="12">
        <v>-33</v>
      </c>
      <c r="D96" s="12">
        <v>-1524</v>
      </c>
    </row>
    <row r="97" spans="1:4" x14ac:dyDescent="0.3">
      <c r="A97" s="1" t="s">
        <v>61</v>
      </c>
      <c r="B97" s="12">
        <v>-1780</v>
      </c>
      <c r="C97" s="12">
        <v>-352</v>
      </c>
      <c r="D97" s="12">
        <v>-909</v>
      </c>
    </row>
    <row r="98" spans="1:4" x14ac:dyDescent="0.3">
      <c r="A98" s="8" t="s">
        <v>70</v>
      </c>
      <c r="B98" s="13">
        <f>+SUM(B92:B97)</f>
        <v>-22354</v>
      </c>
      <c r="C98" s="13">
        <f t="shared" ref="C98:D98" si="18">+SUM(C92:C97)</f>
        <v>-14545</v>
      </c>
      <c r="D98" s="13">
        <f t="shared" si="18"/>
        <v>-4289</v>
      </c>
    </row>
    <row r="99" spans="1:4" x14ac:dyDescent="0.3">
      <c r="A99" s="7" t="s">
        <v>71</v>
      </c>
      <c r="B99" s="12"/>
      <c r="C99" s="12"/>
      <c r="D99" s="12"/>
    </row>
    <row r="100" spans="1:4" x14ac:dyDescent="0.3">
      <c r="A100" s="1" t="s">
        <v>86</v>
      </c>
      <c r="B100" s="12">
        <v>-6223</v>
      </c>
      <c r="C100" s="12">
        <v>-6556</v>
      </c>
      <c r="D100" s="12">
        <v>-3634</v>
      </c>
    </row>
    <row r="101" spans="1:4" x14ac:dyDescent="0.3">
      <c r="A101" s="1" t="s">
        <v>72</v>
      </c>
      <c r="B101" s="12">
        <v>-14841</v>
      </c>
      <c r="C101" s="12">
        <v>-14467</v>
      </c>
      <c r="D101" s="12">
        <v>-14081</v>
      </c>
    </row>
    <row r="102" spans="1:4" x14ac:dyDescent="0.3">
      <c r="A102" s="1" t="s">
        <v>73</v>
      </c>
      <c r="B102" s="12">
        <v>-89402</v>
      </c>
      <c r="C102" s="12">
        <v>-85971</v>
      </c>
      <c r="D102" s="12">
        <v>-72358</v>
      </c>
    </row>
    <row r="103" spans="1:4" x14ac:dyDescent="0.3">
      <c r="A103" s="1" t="s">
        <v>74</v>
      </c>
      <c r="B103" s="12">
        <v>5465</v>
      </c>
      <c r="C103" s="12">
        <v>20393</v>
      </c>
      <c r="D103" s="12">
        <v>16091</v>
      </c>
    </row>
    <row r="104" spans="1:4" x14ac:dyDescent="0.3">
      <c r="A104" s="1" t="s">
        <v>75</v>
      </c>
      <c r="B104" s="12">
        <v>-9543</v>
      </c>
      <c r="C104" s="12">
        <v>-8750</v>
      </c>
      <c r="D104" s="12">
        <v>-12629</v>
      </c>
    </row>
    <row r="105" spans="1:4" x14ac:dyDescent="0.3">
      <c r="A105" s="1" t="s">
        <v>76</v>
      </c>
      <c r="B105" s="12">
        <v>3955</v>
      </c>
      <c r="C105" s="12">
        <v>1022</v>
      </c>
      <c r="D105" s="12">
        <v>-963</v>
      </c>
    </row>
    <row r="106" spans="1:4" x14ac:dyDescent="0.3">
      <c r="A106" s="1" t="s">
        <v>61</v>
      </c>
      <c r="B106" s="12">
        <v>-160</v>
      </c>
      <c r="C106" s="12">
        <v>976</v>
      </c>
      <c r="D106" s="12">
        <v>754</v>
      </c>
    </row>
    <row r="107" spans="1:4" x14ac:dyDescent="0.3">
      <c r="A107" s="8" t="s">
        <v>77</v>
      </c>
      <c r="B107" s="13">
        <f>+SUM(B100:B106)</f>
        <v>-110749</v>
      </c>
      <c r="C107" s="13">
        <f t="shared" ref="C107:D107" si="19">+SUM(C100:C106)</f>
        <v>-93353</v>
      </c>
      <c r="D107" s="13">
        <f t="shared" si="19"/>
        <v>-86820</v>
      </c>
    </row>
    <row r="108" spans="1:4" x14ac:dyDescent="0.3">
      <c r="A108" s="8" t="s">
        <v>78</v>
      </c>
      <c r="B108" s="13">
        <f>+B90+B98+B107</f>
        <v>-10952</v>
      </c>
      <c r="C108" s="13">
        <f t="shared" ref="C108:D108" si="20">+C90+C98+C107</f>
        <v>-3860</v>
      </c>
      <c r="D108" s="13">
        <f t="shared" si="20"/>
        <v>-10435</v>
      </c>
    </row>
    <row r="109" spans="1:4" ht="15" thickBot="1" x14ac:dyDescent="0.35">
      <c r="A109" s="9" t="s">
        <v>79</v>
      </c>
      <c r="B109" s="14">
        <v>24977</v>
      </c>
      <c r="C109" s="14">
        <v>35929</v>
      </c>
      <c r="D109" s="14">
        <v>39789</v>
      </c>
    </row>
    <row r="110" spans="1:4" ht="15" thickTop="1" x14ac:dyDescent="0.3">
      <c r="B110" s="12"/>
      <c r="C110" s="12"/>
      <c r="D110" s="12"/>
    </row>
    <row r="111" spans="1:4" x14ac:dyDescent="0.3">
      <c r="A111" t="s">
        <v>80</v>
      </c>
      <c r="B111" s="12"/>
      <c r="C111" s="12"/>
      <c r="D111" s="12"/>
    </row>
    <row r="112" spans="1:4" x14ac:dyDescent="0.3">
      <c r="A112" t="s">
        <v>81</v>
      </c>
      <c r="B112" s="12">
        <v>19573</v>
      </c>
      <c r="C112" s="12">
        <v>25385</v>
      </c>
      <c r="D112" s="12">
        <v>9501</v>
      </c>
    </row>
    <row r="113" spans="1:5" x14ac:dyDescent="0.3">
      <c r="A113" t="s">
        <v>82</v>
      </c>
      <c r="B113" s="12">
        <v>2865</v>
      </c>
      <c r="C113" s="12">
        <v>2687</v>
      </c>
      <c r="D113" s="12">
        <v>3002</v>
      </c>
    </row>
    <row r="115" spans="1:5" x14ac:dyDescent="0.3">
      <c r="A115" s="51" t="s">
        <v>152</v>
      </c>
      <c r="B115" s="60">
        <f t="shared" ref="B115:C115" si="21">B58+B54+B53</f>
        <v>120069</v>
      </c>
      <c r="C115" s="60">
        <f t="shared" si="21"/>
        <v>124719</v>
      </c>
      <c r="D115" s="60">
        <f>D58+D54+D53</f>
        <v>112436</v>
      </c>
    </row>
    <row r="116" spans="1:5" x14ac:dyDescent="0.3">
      <c r="A116" s="51" t="s">
        <v>153</v>
      </c>
      <c r="B116" s="60">
        <f t="shared" ref="B116:C116" si="22">(B47-B61)+B115</f>
        <v>170741</v>
      </c>
      <c r="C116" s="60">
        <f t="shared" si="22"/>
        <v>187809</v>
      </c>
      <c r="D116" s="60">
        <f>(D47-D61)+D115</f>
        <v>177775</v>
      </c>
      <c r="E116" s="34"/>
    </row>
    <row r="117" spans="1:5" x14ac:dyDescent="0.3">
      <c r="A117" s="51" t="s">
        <v>154</v>
      </c>
      <c r="B117" s="61">
        <v>2931</v>
      </c>
      <c r="C117" s="61">
        <v>2645</v>
      </c>
      <c r="D117" s="61">
        <v>2873</v>
      </c>
    </row>
    <row r="118" spans="1:5" x14ac:dyDescent="0.3">
      <c r="A118" s="51" t="s">
        <v>155</v>
      </c>
      <c r="B118" s="61">
        <v>2825</v>
      </c>
      <c r="C118" s="61">
        <v>2843</v>
      </c>
      <c r="D118" s="61">
        <v>3763</v>
      </c>
    </row>
    <row r="119" spans="1:5" x14ac:dyDescent="0.3">
      <c r="A119" s="51" t="s">
        <v>156</v>
      </c>
      <c r="B119" s="61">
        <f t="shared" ref="B119:C119" si="23">B118-B117</f>
        <v>-106</v>
      </c>
      <c r="C119" s="61">
        <f t="shared" si="23"/>
        <v>198</v>
      </c>
      <c r="D119" s="61">
        <f>D118-D117</f>
        <v>890</v>
      </c>
    </row>
    <row r="120" spans="1:5" x14ac:dyDescent="0.3">
      <c r="A120" s="51" t="s">
        <v>157</v>
      </c>
      <c r="B120" s="61">
        <v>9543</v>
      </c>
      <c r="C120" s="61">
        <v>8750</v>
      </c>
      <c r="D120" s="61">
        <v>12629</v>
      </c>
    </row>
    <row r="121" spans="1:5" x14ac:dyDescent="0.3">
      <c r="A121" s="51" t="s">
        <v>165</v>
      </c>
      <c r="B121" s="62">
        <v>14793</v>
      </c>
      <c r="C121" s="62">
        <v>14431</v>
      </c>
      <c r="D121" s="62">
        <v>14087</v>
      </c>
    </row>
  </sheetData>
  <mergeCells count="6">
    <mergeCell ref="B3:D3"/>
    <mergeCell ref="B32:D32"/>
    <mergeCell ref="B71:D71"/>
    <mergeCell ref="A2:D2"/>
    <mergeCell ref="A31:D31"/>
    <mergeCell ref="A70:D7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2"/>
  <sheetViews>
    <sheetView tabSelected="1" topLeftCell="A130" workbookViewId="0">
      <selection activeCell="J72" sqref="J72"/>
    </sheetView>
  </sheetViews>
  <sheetFormatPr defaultRowHeight="14.4" x14ac:dyDescent="0.3"/>
  <cols>
    <col min="1" max="1" width="4.6640625" customWidth="1"/>
    <col min="2" max="2" width="48.6640625" customWidth="1"/>
    <col min="3" max="4" width="16.109375" bestFit="1" customWidth="1"/>
    <col min="5" max="5" width="16.21875" bestFit="1" customWidth="1"/>
    <col min="6" max="6" width="12.5546875" bestFit="1" customWidth="1"/>
    <col min="7" max="7" width="13.66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2" t="s">
        <v>23</v>
      </c>
      <c r="D2" s="32"/>
      <c r="E2" s="32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7">
        <f>'Financial Statements'!B41/'Financial Statements'!B55</f>
        <v>0.87935602862672257</v>
      </c>
      <c r="D5" s="27">
        <f>'Financial Statements'!C41/'Financial Statements'!C55</f>
        <v>1.0745531195957954</v>
      </c>
      <c r="E5" s="27">
        <f>'Financial Statements'!D41/'Financial Statements'!D55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7">
        <f>('Financial Statements'!B41-'Financial Statements'!B38)/'Financial Statements'!B55</f>
        <v>0.84723539114961488</v>
      </c>
      <c r="D6" s="27">
        <f>('Financial Statements'!C41-'Financial Statements'!C38)/'Financial Statements'!C55</f>
        <v>1.0221149018576519</v>
      </c>
      <c r="E6" s="27">
        <f>('Financial Statements'!D41-'Financial Statements'!D38)/'Financial Statements'!D55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7">
        <f>('Financial Statements'!B35+'Financial Statements'!B36)/'Financial Statements'!B55</f>
        <v>0.31369900377966253</v>
      </c>
      <c r="D7" s="27">
        <f>('Financial Statements'!C35+'Financial Statements'!C36)/'Financial Statements'!C55</f>
        <v>0.49919111259872012</v>
      </c>
      <c r="E7" s="27">
        <f>('Financial Statements'!D35+'Financial Statements'!D36)/'Financial Statements'!D55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7">
        <f>'Financial Statements'!B41/(('Financial Statements'!B17-'Financial Statements'!B78)/365)</f>
        <v>1228.1708953554833</v>
      </c>
      <c r="D8" s="27">
        <f>'Financial Statements'!C41/(('Financial Statements'!C17-'Financial Statements'!C78)/365)</f>
        <v>1509.5279575499187</v>
      </c>
      <c r="E8" s="27">
        <f>'Financial Statements'!D41/(('Financial Statements'!D17-'Financial Statements'!D78)/365)</f>
        <v>1899.7263870780819</v>
      </c>
    </row>
    <row r="9" spans="1:10" x14ac:dyDescent="0.3">
      <c r="A9" s="18">
        <f t="shared" si="0"/>
        <v>1.5000000000000004</v>
      </c>
      <c r="B9" s="1" t="s">
        <v>104</v>
      </c>
      <c r="C9" s="27">
        <f>(('Financial Statements'!B38+'Financial Statements'!C38)/2)*365/('Financial Statements'!B12)</f>
        <v>9.4096740715557416</v>
      </c>
      <c r="D9" s="27">
        <f>(('Financial Statements'!C38+'Financial Statements'!D38)/2)*365/('Financial Statements'!C12)</f>
        <v>9.1181020842234748</v>
      </c>
      <c r="E9" s="27">
        <f>(('Financial Statements'!D38+'Financial Statements'!E38)/2)*365/'Financial Statements'!D12</f>
        <v>8.7903178244740765</v>
      </c>
    </row>
    <row r="10" spans="1:10" x14ac:dyDescent="0.3">
      <c r="A10" s="18">
        <f t="shared" si="0"/>
        <v>1.6000000000000005</v>
      </c>
      <c r="B10" s="1" t="s">
        <v>105</v>
      </c>
      <c r="C10" s="27">
        <f>(('Financial Statements'!B50+'Financial Statements'!C50)/2)*365/'Financial Statements'!B12</f>
        <v>97.050428099809437</v>
      </c>
      <c r="D10" s="27">
        <f>(('Financial Statements'!C50+'Financial Statements'!D50)/2)*365/'Financial Statements'!C12</f>
        <v>83.168299050150011</v>
      </c>
      <c r="E10" s="27">
        <f>(('Financial Statements'!D50+'Financial Statements'!E50)/2)*365/'Financial Statements'!D12</f>
        <v>95.288896490307209</v>
      </c>
    </row>
    <row r="11" spans="1:10" x14ac:dyDescent="0.3">
      <c r="A11" s="18">
        <f t="shared" si="0"/>
        <v>1.7000000000000006</v>
      </c>
      <c r="B11" s="1" t="s">
        <v>106</v>
      </c>
      <c r="C11" s="27">
        <f>(('Financial Statements'!B37+'Financial Statements'!C37)/2)*365/'Financial Statements'!B8</f>
        <v>25.20570438822503</v>
      </c>
      <c r="D11" s="27">
        <f>(('Financial Statements'!C37+'Financial Statements'!D37)/2)*365/'Financial Statements'!C8</f>
        <v>21.151655062503931</v>
      </c>
      <c r="E11" s="27">
        <f>(('Financial Statements'!D37+'Financial Statements'!E37)/2)*365/'Financial Statements'!D8</f>
        <v>25.958126149755021</v>
      </c>
    </row>
    <row r="12" spans="1:10" x14ac:dyDescent="0.3">
      <c r="A12" s="18">
        <f t="shared" si="0"/>
        <v>1.8000000000000007</v>
      </c>
      <c r="B12" s="1" t="s">
        <v>107</v>
      </c>
      <c r="C12" s="27">
        <f t="shared" ref="C12:D12" si="1">(C11+C9-C10)</f>
        <v>-62.435049640028666</v>
      </c>
      <c r="D12" s="27">
        <f t="shared" si="1"/>
        <v>-52.898541903422604</v>
      </c>
      <c r="E12" s="27">
        <f>(E11+E9-E10)</f>
        <v>-60.540452516078112</v>
      </c>
    </row>
    <row r="13" spans="1:10" x14ac:dyDescent="0.3">
      <c r="A13" s="18">
        <f t="shared" si="0"/>
        <v>1.9000000000000008</v>
      </c>
      <c r="B13" s="1" t="s">
        <v>108</v>
      </c>
      <c r="C13" s="28">
        <f>C14/'Financial Statements'!B8</f>
        <v>-4.711052727678481E-2</v>
      </c>
      <c r="D13" s="28">
        <f>D14/'Financial Statements'!C8</f>
        <v>2.557289573748623E-2</v>
      </c>
      <c r="E13" s="28">
        <f>E14/'Financial Statements'!D8</f>
        <v>0.13959528623208203</v>
      </c>
    </row>
    <row r="14" spans="1:10" x14ac:dyDescent="0.3">
      <c r="A14" s="18"/>
      <c r="B14" s="3" t="s">
        <v>109</v>
      </c>
      <c r="C14" s="29">
        <f>'Financial Statements'!B41-'Financial Statements'!B55</f>
        <v>-18577</v>
      </c>
      <c r="D14" s="29">
        <f>'Financial Statements'!C41-'Financial Statements'!C55</f>
        <v>9355</v>
      </c>
      <c r="E14" s="29">
        <f>'Financial Statements'!D41-'Financial Statements'!D55</f>
        <v>38321</v>
      </c>
    </row>
    <row r="15" spans="1:10" x14ac:dyDescent="0.3">
      <c r="A15" s="18"/>
      <c r="C15" s="30"/>
      <c r="D15" s="30"/>
      <c r="E15" s="30"/>
    </row>
    <row r="16" spans="1:10" x14ac:dyDescent="0.3">
      <c r="A16" s="18">
        <f>+A4+1</f>
        <v>2</v>
      </c>
      <c r="B16" s="17" t="s">
        <v>110</v>
      </c>
      <c r="C16" s="30"/>
      <c r="D16" s="30"/>
      <c r="E16" s="30"/>
    </row>
    <row r="17" spans="1:5" x14ac:dyDescent="0.3">
      <c r="A17" s="18">
        <f>+A16+0.1</f>
        <v>2.1</v>
      </c>
      <c r="B17" s="1" t="s">
        <v>9</v>
      </c>
      <c r="C17" s="28">
        <f>'Financial Statements'!B13/'Financial Statements'!B8</f>
        <v>0.43309630561360085</v>
      </c>
      <c r="D17" s="28">
        <f>'Financial Statements'!C13/'Financial Statements'!C8</f>
        <v>0.41779359625167778</v>
      </c>
      <c r="E17" s="28">
        <f>'Financial Statements'!D13/'Financial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28">
        <f>C19/'Financial Statements'!B8</f>
        <v>0.33763263070337385</v>
      </c>
      <c r="D18" s="28">
        <f>D19/'Financial Statements'!C8</f>
        <v>0.33660546120054563</v>
      </c>
      <c r="E18" s="28">
        <f>E19/'Financial Statements'!D8</f>
        <v>0.2951386991603373</v>
      </c>
    </row>
    <row r="19" spans="1:5" x14ac:dyDescent="0.3">
      <c r="A19" s="18"/>
      <c r="B19" s="3" t="s">
        <v>112</v>
      </c>
      <c r="C19" s="29">
        <f>C21+'Financial Statements'!B78</f>
        <v>133138</v>
      </c>
      <c r="D19" s="29">
        <f>D21+'Financial Statements'!C78</f>
        <v>123136</v>
      </c>
      <c r="E19" s="29">
        <f>E21+'Financial Statements'!D78</f>
        <v>81020</v>
      </c>
    </row>
    <row r="20" spans="1:5" x14ac:dyDescent="0.3">
      <c r="A20" s="18">
        <f>+A18+0.1</f>
        <v>2.3000000000000003</v>
      </c>
      <c r="B20" s="1" t="s">
        <v>113</v>
      </c>
      <c r="C20" s="28">
        <f>C21/'Financial Statements'!B8</f>
        <v>0.30947333184557019</v>
      </c>
      <c r="D20" s="28">
        <f>D21/'Financial Statements'!C8</f>
        <v>0.305759437095597</v>
      </c>
      <c r="E20" s="28">
        <f>E21/'Financial Statements'!D8</f>
        <v>0.25486403293080523</v>
      </c>
    </row>
    <row r="21" spans="1:5" x14ac:dyDescent="0.3">
      <c r="A21" s="18"/>
      <c r="B21" s="3" t="s">
        <v>114</v>
      </c>
      <c r="C21" s="29">
        <f>'Financial Statements'!B22+'Financial Statements'!B117+'Financial Statements'!B21</f>
        <v>122034</v>
      </c>
      <c r="D21" s="29">
        <f>'Financial Statements'!C22+'Financial Statements'!C117+'Financial Statements'!C21</f>
        <v>111852</v>
      </c>
      <c r="E21" s="29">
        <f>'Financial Statements'!D22+'Financial Statements'!D117+'Financial Statements'!D21</f>
        <v>69964</v>
      </c>
    </row>
    <row r="22" spans="1:5" x14ac:dyDescent="0.3">
      <c r="A22" s="18">
        <f>+A20+0.1</f>
        <v>2.4000000000000004</v>
      </c>
      <c r="B22" s="1" t="s">
        <v>115</v>
      </c>
      <c r="C22" s="28">
        <f>'Financial Statements'!B22/'Financial Statements'!B8</f>
        <v>0.25309640705199732</v>
      </c>
      <c r="D22" s="28">
        <f>'Financial Statements'!C22/'Financial Statements'!C8</f>
        <v>0.25881793355694238</v>
      </c>
      <c r="E22" s="28">
        <f>'Financial Statements'!D22/'Financial Statements'!D8</f>
        <v>0.20913611278072236</v>
      </c>
    </row>
    <row r="23" spans="1:5" x14ac:dyDescent="0.3">
      <c r="A23" s="18"/>
      <c r="C23" s="30"/>
      <c r="D23" s="30"/>
      <c r="E23" s="30"/>
    </row>
    <row r="24" spans="1:5" x14ac:dyDescent="0.3">
      <c r="A24" s="18">
        <f>+A16+1</f>
        <v>3</v>
      </c>
      <c r="B24" s="7" t="s">
        <v>116</v>
      </c>
      <c r="C24" s="30"/>
      <c r="D24" s="30"/>
      <c r="E24" s="30"/>
    </row>
    <row r="25" spans="1:5" x14ac:dyDescent="0.3">
      <c r="A25" s="18">
        <f>+A24+0.1</f>
        <v>3.1</v>
      </c>
      <c r="B25" s="1" t="s">
        <v>117</v>
      </c>
      <c r="C25" s="27">
        <f>('Financial Statements'!B53+'Financial Statements'!B54+'Financial Statements'!B58)/ 'Financial Statements'!B67</f>
        <v>2.3695334701610355</v>
      </c>
      <c r="D25" s="27">
        <f>('Financial Statements'!C53+'Financial Statements'!C54+'Financial Statements'!C58)/ 'Financial Statements'!C67</f>
        <v>1.9768426058012363</v>
      </c>
      <c r="E25" s="27">
        <f>('Financial Statements'!D53+'Financial Statements'!D54+'Financial Statements'!D58)/ 'Financial Statements'!D67</f>
        <v>1.7208099297509909</v>
      </c>
    </row>
    <row r="26" spans="1:5" x14ac:dyDescent="0.3">
      <c r="A26" s="18">
        <f t="shared" ref="A26:A30" si="2">+A25+0.1</f>
        <v>3.2</v>
      </c>
      <c r="B26" s="1" t="s">
        <v>118</v>
      </c>
      <c r="C26" s="27">
        <f>('Financial Statements'!B53+'Financial Statements'!B54+'Financial Statements'!B58)/'Financial Statements'!B47</f>
        <v>0.34037504783773442</v>
      </c>
      <c r="D26" s="27">
        <f>('Financial Statements'!C53+'Financial Statements'!C54+'Financial Statements'!C58)/'Financial Statements'!C47</f>
        <v>0.35532276169366556</v>
      </c>
      <c r="E26" s="27">
        <f>('Financial Statements'!D53+'Financial Statements'!D54+'Financial Statements'!D58)/'Financial Statements'!D47</f>
        <v>0.34714469199229364</v>
      </c>
    </row>
    <row r="27" spans="1:5" x14ac:dyDescent="0.3">
      <c r="A27" s="18">
        <f t="shared" si="2"/>
        <v>3.3000000000000003</v>
      </c>
      <c r="B27" s="1" t="s">
        <v>119</v>
      </c>
      <c r="C27" s="27">
        <f>('Financial Statements'!B58)/('Financial Statements'!B53+'Financial Statements'!B54+'Financial Statements'!B58+'Financial Statements'!B67)</f>
        <v>0.57958545399171846</v>
      </c>
      <c r="D27" s="27">
        <f>('Financial Statements'!C58)/('Financial Statements'!C53+'Financial Statements'!C54+'Financial Statements'!C58+'Financial Statements'!C67)</f>
        <v>0.58094127544473373</v>
      </c>
      <c r="E27" s="27">
        <f>('Financial Statements'!D58)/('Financial Statements'!D53+'Financial Statements'!D54+'Financial Statements'!D58+'Financial Statements'!D67)</f>
        <v>0.55501054703979746</v>
      </c>
    </row>
    <row r="28" spans="1:5" x14ac:dyDescent="0.3">
      <c r="A28" s="18">
        <f t="shared" si="2"/>
        <v>3.4000000000000004</v>
      </c>
      <c r="B28" s="1" t="s">
        <v>120</v>
      </c>
      <c r="C28" s="27">
        <f>C21/'Financial Statements'!B117</f>
        <v>41.635619242579324</v>
      </c>
      <c r="D28" s="27">
        <f>D21/'Financial Statements'!C117</f>
        <v>42.288090737240076</v>
      </c>
      <c r="E28" s="27">
        <f>E21/'Financial Statements'!D117</f>
        <v>24.352245040027846</v>
      </c>
    </row>
    <row r="29" spans="1:5" x14ac:dyDescent="0.3">
      <c r="A29" s="18">
        <f t="shared" si="2"/>
        <v>3.5000000000000004</v>
      </c>
      <c r="B29" s="1" t="s">
        <v>121</v>
      </c>
      <c r="C29" s="27">
        <f>C21/(-'Financial Statements'!B104)</f>
        <v>12.787802577805721</v>
      </c>
      <c r="D29" s="27">
        <f>D21/(-'Financial Statements'!C104)</f>
        <v>12.783085714285715</v>
      </c>
      <c r="E29" s="27">
        <f>E21/(-'Financial Statements'!D104)</f>
        <v>5.5399477393301133</v>
      </c>
    </row>
    <row r="30" spans="1:5" x14ac:dyDescent="0.3">
      <c r="A30" s="18">
        <f t="shared" si="2"/>
        <v>3.6000000000000005</v>
      </c>
      <c r="B30" s="1" t="s">
        <v>122</v>
      </c>
      <c r="C30" s="27">
        <f t="shared" ref="C30:D30" si="3">C31*1000000/(C54*1000)</f>
        <v>6.9821885824407239</v>
      </c>
      <c r="D30" s="27">
        <f t="shared" si="3"/>
        <v>6.4296204991043284</v>
      </c>
      <c r="E30" s="27">
        <f>E31*1000000/(E54*1000)</f>
        <v>4.4686964175679424</v>
      </c>
    </row>
    <row r="31" spans="1:5" x14ac:dyDescent="0.3">
      <c r="A31" s="18"/>
      <c r="B31" s="3" t="s">
        <v>123</v>
      </c>
      <c r="C31" s="29">
        <f>'Financial Statements'!B90+'Financial Statements'!B95+'Financial Statements'!B103+'Financial Statements'!B104+'Financial Statements'!B105</f>
        <v>111320</v>
      </c>
      <c r="D31" s="29">
        <f>'Financial Statements'!C90+'Financial Statements'!C95+'Financial Statements'!C103+'Financial Statements'!C104+'Financial Statements'!C105</f>
        <v>105618</v>
      </c>
      <c r="E31" s="29">
        <f>'Financial Statements'!D90+'Financial Statements'!D95+'Financial Statements'!D103+'Financial Statements'!D104+'Financial Statements'!D105</f>
        <v>75864</v>
      </c>
    </row>
    <row r="32" spans="1:5" x14ac:dyDescent="0.3">
      <c r="A32" s="18"/>
    </row>
    <row r="33" spans="1:8" x14ac:dyDescent="0.3">
      <c r="A33" s="18">
        <f>+A24+1</f>
        <v>4</v>
      </c>
      <c r="B33" s="17" t="s">
        <v>124</v>
      </c>
    </row>
    <row r="34" spans="1:8" x14ac:dyDescent="0.3">
      <c r="A34" s="18">
        <f>+A33+0.1</f>
        <v>4.0999999999999996</v>
      </c>
      <c r="B34" s="1" t="s">
        <v>125</v>
      </c>
      <c r="C34" s="31">
        <f>'Financial Statements'!B8/'Financial Statements'!B47</f>
        <v>1.1178523337727317</v>
      </c>
      <c r="D34" s="31">
        <f>'Financial Statements'!C8/'Financial Statements'!C47</f>
        <v>1.0422077367080529</v>
      </c>
      <c r="E34" s="31">
        <f>'Financial Statements'!D8/'Financial Statements'!D47</f>
        <v>0.84756150274168851</v>
      </c>
    </row>
    <row r="35" spans="1:8" x14ac:dyDescent="0.3">
      <c r="A35" s="18">
        <f t="shared" ref="A35:A37" si="4">+A34+0.1</f>
        <v>4.1999999999999993</v>
      </c>
      <c r="B35" s="1" t="s">
        <v>126</v>
      </c>
      <c r="C35" s="27">
        <f>'Financial Statements'!B8/'Financial Statements'!B44</f>
        <v>9.3626801529073767</v>
      </c>
      <c r="D35" s="27">
        <f>'Financial Statements'!C8/'Financial Statements'!C44</f>
        <v>9.2752789046653152</v>
      </c>
      <c r="E35" s="27">
        <f>'Financial Statements'!D8/'Financial Statements'!D44</f>
        <v>7.4665451776097482</v>
      </c>
    </row>
    <row r="36" spans="1:8" x14ac:dyDescent="0.3">
      <c r="A36" s="18">
        <f t="shared" si="4"/>
        <v>4.2999999999999989</v>
      </c>
      <c r="B36" s="1" t="s">
        <v>127</v>
      </c>
      <c r="C36" s="27">
        <f>'Financial Statements'!B8/'Financial Statements'!B38</f>
        <v>79.726647796198947</v>
      </c>
      <c r="D36" s="27">
        <f>'Financial Statements'!C8/'Financial Statements'!C38</f>
        <v>55.595288753799394</v>
      </c>
      <c r="E36" s="27">
        <f>'Financial Statements'!D8/'Financial Statements'!D38</f>
        <v>67.597882295001227</v>
      </c>
    </row>
    <row r="37" spans="1:8" x14ac:dyDescent="0.3">
      <c r="A37" s="18">
        <f t="shared" si="4"/>
        <v>4.3999999999999986</v>
      </c>
      <c r="B37" s="1" t="s">
        <v>128</v>
      </c>
      <c r="C37" s="28">
        <f>'Financial Statements'!B22/'Financial Statements'!B47</f>
        <v>0.28292440929256851</v>
      </c>
      <c r="D37" s="28">
        <f>'Financial Statements'!C22/'Financial Statements'!C47</f>
        <v>0.26974205275183616</v>
      </c>
      <c r="E37" s="28">
        <f>'Financial Statements'!D22/'Financial Statements'!D47</f>
        <v>0.1772557180259843</v>
      </c>
    </row>
    <row r="38" spans="1:8" x14ac:dyDescent="0.3">
      <c r="A38" s="18"/>
    </row>
    <row r="39" spans="1:8" x14ac:dyDescent="0.3">
      <c r="A39" s="18">
        <f>+A33+1</f>
        <v>5</v>
      </c>
      <c r="B39" s="17" t="s">
        <v>129</v>
      </c>
      <c r="C39" s="24"/>
      <c r="D39" s="24"/>
      <c r="E39" s="24"/>
    </row>
    <row r="40" spans="1:8" x14ac:dyDescent="0.3">
      <c r="A40" s="18">
        <f>+A39+0.1</f>
        <v>5.0999999999999996</v>
      </c>
      <c r="B40" s="1" t="s">
        <v>130</v>
      </c>
      <c r="C40" s="38">
        <f t="shared" ref="C40:D40" si="5">C53/C41</f>
        <v>21.91915417622717</v>
      </c>
      <c r="D40" s="38">
        <f t="shared" si="5"/>
        <v>24.237663753696658</v>
      </c>
      <c r="E40" s="38">
        <f>E53/E41</f>
        <v>33.595130627057529</v>
      </c>
    </row>
    <row r="41" spans="1:8" x14ac:dyDescent="0.3">
      <c r="A41" s="18">
        <f t="shared" ref="A41:A44" si="6">+A40+0.1</f>
        <v>5.1999999999999993</v>
      </c>
      <c r="B41" s="3" t="s">
        <v>131</v>
      </c>
      <c r="C41" s="43">
        <f>'Financial Statements'!B22*1000000/('List of Ratios'!C54*1000)</f>
        <v>6.259821838783072</v>
      </c>
      <c r="D41" s="43">
        <f>'Financial Statements'!C22*1000000/('List of Ratios'!D54*1000)</f>
        <v>5.7637568298509523</v>
      </c>
      <c r="E41" s="43">
        <f>'Financial Statements'!D22*1000000/('List of Ratios'!E54*1000)</f>
        <v>3.3817400879072177</v>
      </c>
    </row>
    <row r="42" spans="1:8" x14ac:dyDescent="0.3">
      <c r="A42" s="18">
        <f t="shared" si="6"/>
        <v>5.2999999999999989</v>
      </c>
      <c r="B42" s="1" t="s">
        <v>132</v>
      </c>
      <c r="C42" s="43">
        <f t="shared" ref="C42:D42" si="7">C53/C43</f>
        <v>43.171718981883487</v>
      </c>
      <c r="D42" s="43">
        <f t="shared" si="7"/>
        <v>36.373783550483431</v>
      </c>
      <c r="E42" s="43">
        <f>E53/E43</f>
        <v>29.518817925435037</v>
      </c>
    </row>
    <row r="43" spans="1:8" x14ac:dyDescent="0.3">
      <c r="A43" s="18">
        <f t="shared" si="6"/>
        <v>5.3999999999999986</v>
      </c>
      <c r="B43" s="3" t="s">
        <v>133</v>
      </c>
      <c r="C43" s="43">
        <f>'Financial Statements'!B67*1000000/('List of Ratios'!C54*1000)</f>
        <v>3.1782380511088428</v>
      </c>
      <c r="D43" s="43">
        <f>'Financial Statements'!C67*1000000/('List of Ratios'!D54*1000)</f>
        <v>3.8406782677999214</v>
      </c>
      <c r="E43" s="43">
        <f>'Financial Statements'!D67*1000000/('List of Ratios'!E54*1000)</f>
        <v>3.8487313512004615</v>
      </c>
    </row>
    <row r="44" spans="1:8" x14ac:dyDescent="0.3">
      <c r="A44" s="18">
        <f t="shared" si="6"/>
        <v>5.4999999999999982</v>
      </c>
      <c r="B44" s="1" t="s">
        <v>134</v>
      </c>
      <c r="C44" s="28">
        <f t="shared" ref="C44:D44" si="8">C45/C41</f>
        <v>0.14822199733474947</v>
      </c>
      <c r="D44" s="28">
        <f t="shared" si="8"/>
        <v>0.15241867342627799</v>
      </c>
      <c r="E44" s="28">
        <f>E45/E41</f>
        <v>0.2453710961314034</v>
      </c>
      <c r="H44" s="35"/>
    </row>
    <row r="45" spans="1:8" x14ac:dyDescent="0.3">
      <c r="A45" s="18"/>
      <c r="B45" s="3" t="s">
        <v>135</v>
      </c>
      <c r="C45" s="43">
        <f>'Financial Statements'!B121*1000000/('List of Ratios'!C54*1000)</f>
        <v>0.92784329590411097</v>
      </c>
      <c r="D45" s="43">
        <f>'Financial Statements'!C121*1000000/('List of Ratios'!D54*1000)</f>
        <v>0.87850416995753156</v>
      </c>
      <c r="E45" s="43">
        <f>'Financial Statements'!D121*1000000/('List of Ratios'!E54*1000)</f>
        <v>0.82978127220130249</v>
      </c>
    </row>
    <row r="46" spans="1:8" x14ac:dyDescent="0.3">
      <c r="A46" s="18">
        <f>+A44+0.1</f>
        <v>5.5999999999999979</v>
      </c>
      <c r="B46" s="1" t="s">
        <v>136</v>
      </c>
      <c r="C46" s="28">
        <f t="shared" ref="C46:D46" si="9">C45/C53</f>
        <v>6.762213365673864E-3</v>
      </c>
      <c r="D46" s="28">
        <f t="shared" si="9"/>
        <v>6.2885051535972198E-3</v>
      </c>
      <c r="E46" s="28">
        <f>E45/E53</f>
        <v>7.303769669934887E-3</v>
      </c>
    </row>
    <row r="47" spans="1:8" x14ac:dyDescent="0.3">
      <c r="A47" s="18">
        <f t="shared" ref="A47:A50" si="10">+A45+0.1</f>
        <v>0.1</v>
      </c>
      <c r="B47" s="36" t="s">
        <v>137</v>
      </c>
      <c r="C47" s="28">
        <f>'Financial Statements'!B22/'Financial Statements'!B67</f>
        <v>1.9695887275023682</v>
      </c>
      <c r="D47" s="28">
        <f>'Financial Statements'!C22/'Financial Statements'!C67</f>
        <v>1.5007132667617689</v>
      </c>
      <c r="E47" s="28">
        <f>'Financial Statements'!D22/'Financial Statements'!D67</f>
        <v>0.87866358530127486</v>
      </c>
    </row>
    <row r="48" spans="1:8" x14ac:dyDescent="0.3">
      <c r="A48" s="18">
        <f t="shared" si="10"/>
        <v>5.6999999999999975</v>
      </c>
      <c r="B48" s="1" t="s">
        <v>138</v>
      </c>
      <c r="C48" s="28">
        <f>('Financial Statements'!B22+'Financial Statements'!B117)/('Financial Statements'!B47-'Financial Statements'!B55)</f>
        <v>0.51684081842101293</v>
      </c>
      <c r="D48" s="28">
        <f>('Financial Statements'!C22+'Financial Statements'!C117)/('Financial Statements'!C47-'Financial Statements'!C55)</f>
        <v>0.43155626305310812</v>
      </c>
      <c r="E48" s="28">
        <f>('Financial Statements'!D22+'Financial Statements'!D117)/('Financial Statements'!D47-'Financial Statements'!D55)</f>
        <v>0.27590436438195665</v>
      </c>
    </row>
    <row r="49" spans="1:5" x14ac:dyDescent="0.3">
      <c r="A49" s="18">
        <f t="shared" si="10"/>
        <v>0.2</v>
      </c>
      <c r="B49" s="1" t="s">
        <v>128</v>
      </c>
      <c r="C49" s="28">
        <f>'Financial Statements'!B22/'Financial Statements'!B47</f>
        <v>0.28292440929256851</v>
      </c>
      <c r="D49" s="28">
        <f>'Financial Statements'!C22/'Financial Statements'!C47</f>
        <v>0.26974205275183616</v>
      </c>
      <c r="E49" s="28">
        <f>'Financial Statements'!D22/'Financial Statements'!D47</f>
        <v>0.1772557180259843</v>
      </c>
    </row>
    <row r="50" spans="1:5" x14ac:dyDescent="0.3">
      <c r="A50" s="18">
        <f t="shared" si="10"/>
        <v>5.7999999999999972</v>
      </c>
      <c r="B50" s="1" t="s">
        <v>139</v>
      </c>
      <c r="C50" s="38">
        <f t="shared" ref="C50:D50" si="11">C51/C19</f>
        <v>16.977146601646414</v>
      </c>
      <c r="D50" s="38">
        <f t="shared" si="11"/>
        <v>19.147527970699063</v>
      </c>
      <c r="E50" s="38">
        <f>E51/E19</f>
        <v>24.07904276018267</v>
      </c>
    </row>
    <row r="51" spans="1:5" x14ac:dyDescent="0.3">
      <c r="A51" s="18"/>
      <c r="B51" s="3" t="s">
        <v>140</v>
      </c>
      <c r="C51" s="37">
        <v>2260303.3442500001</v>
      </c>
      <c r="D51" s="37">
        <v>2357750.0041999999</v>
      </c>
      <c r="E51" s="37">
        <v>1950884.04443</v>
      </c>
    </row>
    <row r="53" spans="1:5" x14ac:dyDescent="0.3">
      <c r="B53" s="11" t="s">
        <v>150</v>
      </c>
      <c r="C53" s="7">
        <v>137.21</v>
      </c>
      <c r="D53" s="7">
        <v>139.69999999999999</v>
      </c>
      <c r="E53" s="7">
        <v>113.61</v>
      </c>
    </row>
    <row r="54" spans="1:5" x14ac:dyDescent="0.3">
      <c r="B54" s="11" t="s">
        <v>151</v>
      </c>
      <c r="C54" s="25">
        <v>15943425</v>
      </c>
      <c r="D54" s="25">
        <v>16426786</v>
      </c>
      <c r="E54" s="15">
        <v>16976763</v>
      </c>
    </row>
    <row r="55" spans="1:5" x14ac:dyDescent="0.3">
      <c r="B55" s="11" t="s">
        <v>163</v>
      </c>
      <c r="C55" s="25">
        <f>'Financial Statements'!B22+'Financial Statements'!B117</f>
        <v>102734</v>
      </c>
      <c r="D55" s="25">
        <f>'Financial Statements'!C22+'Financial Statements'!C117</f>
        <v>97325</v>
      </c>
      <c r="E55" s="25">
        <f>'Financial Statements'!D22+'Financial Statements'!D117</f>
        <v>60284</v>
      </c>
    </row>
    <row r="56" spans="1:5" x14ac:dyDescent="0.3">
      <c r="B56" s="11" t="s">
        <v>164</v>
      </c>
      <c r="C56" s="25">
        <f t="shared" ref="C56:D56" si="12">C53*C54/1000</f>
        <v>2187597.3442500001</v>
      </c>
      <c r="D56" s="25">
        <f t="shared" si="12"/>
        <v>2294822.0041999999</v>
      </c>
      <c r="E56" s="25">
        <f>E53*E54/1000</f>
        <v>1928730.04443</v>
      </c>
    </row>
    <row r="57" spans="1:5" ht="15" customHeight="1" x14ac:dyDescent="0.3">
      <c r="B57" s="11"/>
      <c r="C57" s="25"/>
      <c r="D57" s="25"/>
      <c r="E57" s="25"/>
    </row>
    <row r="59" spans="1:5" x14ac:dyDescent="0.3">
      <c r="C59" s="2"/>
    </row>
    <row r="60" spans="1:5" x14ac:dyDescent="0.3">
      <c r="B60" s="39" t="s">
        <v>167</v>
      </c>
      <c r="C60" s="40">
        <f>C53*C54/1000</f>
        <v>2187597.3442500001</v>
      </c>
      <c r="D60" s="40">
        <f>D53*D54/1000</f>
        <v>2294822.0041999999</v>
      </c>
      <c r="E60" s="40">
        <f>E53*E54/1000</f>
        <v>1928730.04443</v>
      </c>
    </row>
    <row r="61" spans="1:5" x14ac:dyDescent="0.3">
      <c r="A61" t="s">
        <v>166</v>
      </c>
      <c r="B61" t="s">
        <v>161</v>
      </c>
      <c r="C61" s="2">
        <v>129</v>
      </c>
      <c r="D61" s="2">
        <v>79</v>
      </c>
      <c r="E61" s="2">
        <v>24</v>
      </c>
    </row>
    <row r="62" spans="1:5" x14ac:dyDescent="0.3">
      <c r="A62" t="s">
        <v>166</v>
      </c>
      <c r="B62" t="s">
        <v>162</v>
      </c>
      <c r="C62" s="2">
        <v>9982</v>
      </c>
      <c r="D62" s="2">
        <v>6000</v>
      </c>
      <c r="E62" s="2">
        <v>4996</v>
      </c>
    </row>
    <row r="63" spans="1:5" x14ac:dyDescent="0.3">
      <c r="A63" t="s">
        <v>166</v>
      </c>
      <c r="B63" t="s">
        <v>158</v>
      </c>
      <c r="C63" s="2">
        <v>11128</v>
      </c>
      <c r="D63" s="2">
        <v>9613</v>
      </c>
      <c r="E63" s="2">
        <v>8773</v>
      </c>
    </row>
    <row r="64" spans="1:5" x14ac:dyDescent="0.3">
      <c r="A64" t="s">
        <v>166</v>
      </c>
      <c r="B64" t="s">
        <v>159</v>
      </c>
      <c r="C64" s="2">
        <v>98959</v>
      </c>
      <c r="D64" s="2">
        <v>109106</v>
      </c>
      <c r="E64" s="2">
        <v>98667</v>
      </c>
    </row>
    <row r="65" spans="1:8" x14ac:dyDescent="0.3">
      <c r="A65" t="s">
        <v>166</v>
      </c>
      <c r="B65" t="s">
        <v>160</v>
      </c>
      <c r="C65" s="2">
        <v>812</v>
      </c>
      <c r="D65" s="2">
        <v>769</v>
      </c>
      <c r="E65" s="2">
        <v>637</v>
      </c>
    </row>
    <row r="66" spans="1:8" x14ac:dyDescent="0.3">
      <c r="B66" s="7" t="s">
        <v>168</v>
      </c>
      <c r="C66" s="25">
        <f>SUM(C61:C65)</f>
        <v>121010</v>
      </c>
      <c r="D66" s="25">
        <f t="shared" ref="D66:E66" si="13">SUM(D61:D65)</f>
        <v>125567</v>
      </c>
      <c r="E66" s="25">
        <f t="shared" si="13"/>
        <v>113097</v>
      </c>
    </row>
    <row r="67" spans="1:8" x14ac:dyDescent="0.3">
      <c r="B67" s="7" t="s">
        <v>169</v>
      </c>
      <c r="C67" s="41">
        <f>C60+C66</f>
        <v>2308607.3442500001</v>
      </c>
      <c r="D67" s="41">
        <f t="shared" ref="D67:E67" si="14">D60+D66</f>
        <v>2420389.0041999999</v>
      </c>
      <c r="E67" s="41">
        <f t="shared" si="14"/>
        <v>2041827.04443</v>
      </c>
    </row>
    <row r="68" spans="1:8" x14ac:dyDescent="0.3">
      <c r="A68" t="s">
        <v>170</v>
      </c>
      <c r="B68" t="s">
        <v>171</v>
      </c>
      <c r="C68" s="12">
        <v>23646</v>
      </c>
      <c r="D68" s="12">
        <v>34940</v>
      </c>
      <c r="E68" s="12">
        <v>38016</v>
      </c>
    </row>
    <row r="69" spans="1:8" x14ac:dyDescent="0.3">
      <c r="A69" t="s">
        <v>170</v>
      </c>
      <c r="B69" t="s">
        <v>172</v>
      </c>
      <c r="C69" s="12">
        <v>24658</v>
      </c>
      <c r="D69" s="12">
        <v>27699</v>
      </c>
      <c r="E69" s="12">
        <v>52927</v>
      </c>
    </row>
    <row r="70" spans="1:8" ht="15" thickBot="1" x14ac:dyDescent="0.35">
      <c r="B70" s="7" t="s">
        <v>173</v>
      </c>
      <c r="C70" s="42">
        <f>C67-C68-C69</f>
        <v>2260303.3442500001</v>
      </c>
      <c r="D70" s="42">
        <f t="shared" ref="D70:E70" si="15">D67-D68-D69</f>
        <v>2357750.0041999999</v>
      </c>
      <c r="E70" s="42">
        <f t="shared" si="15"/>
        <v>1950884.04443</v>
      </c>
    </row>
    <row r="71" spans="1:8" ht="15" thickTop="1" x14ac:dyDescent="0.3"/>
    <row r="74" spans="1:8" x14ac:dyDescent="0.3">
      <c r="A74" s="63"/>
      <c r="B74" s="63"/>
      <c r="C74" s="63"/>
      <c r="D74" s="63"/>
      <c r="E74" s="63"/>
      <c r="F74" s="64" t="s">
        <v>23</v>
      </c>
      <c r="G74" s="64"/>
      <c r="H74" s="64"/>
    </row>
    <row r="75" spans="1:8" x14ac:dyDescent="0.3">
      <c r="A75" s="63"/>
      <c r="B75" s="65" t="s">
        <v>149</v>
      </c>
      <c r="C75" s="63"/>
      <c r="D75" s="63"/>
      <c r="E75" s="63"/>
      <c r="F75" s="66">
        <v>2022</v>
      </c>
      <c r="G75" s="66">
        <v>2021</v>
      </c>
      <c r="H75" s="66">
        <v>2020</v>
      </c>
    </row>
    <row r="76" spans="1:8" x14ac:dyDescent="0.3">
      <c r="B76" s="11" t="s">
        <v>174</v>
      </c>
      <c r="F76" s="35"/>
      <c r="G76" s="35"/>
      <c r="H76" s="35"/>
    </row>
    <row r="77" spans="1:8" x14ac:dyDescent="0.3">
      <c r="B77" s="1" t="s">
        <v>4</v>
      </c>
      <c r="F77" s="35">
        <f>('Financial Statements'!B6-'Financial Statements'!C6)/'Financial Statements'!C6</f>
        <v>6.3239764351428418E-2</v>
      </c>
      <c r="G77" s="35">
        <f>('Financial Statements'!C6-'Financial Statements'!D6)/'Financial Statements'!D6</f>
        <v>0.34720743656765435</v>
      </c>
      <c r="H77" s="35">
        <f>('Financial Statements'!D6-'Financial Statements'!E6)/'Financial Statements'!E6</f>
        <v>3.2092312151970941E-2</v>
      </c>
    </row>
    <row r="78" spans="1:8" x14ac:dyDescent="0.3">
      <c r="B78" s="1" t="s">
        <v>5</v>
      </c>
      <c r="F78" s="35">
        <f>('Financial Statements'!B7-'Financial Statements'!C7)/'Financial Statements'!C7</f>
        <v>0.14181951041286078</v>
      </c>
      <c r="G78" s="35">
        <f>('Financial Statements'!C7-'Financial Statements'!D7)/'Financial Statements'!D7</f>
        <v>0.27259708376729652</v>
      </c>
      <c r="H78" s="35">
        <f>('Financial Statements'!D7-'Financial Statements'!E7)/'Financial Statements'!E7</f>
        <v>0.16152167807997234</v>
      </c>
    </row>
    <row r="79" spans="1:8" x14ac:dyDescent="0.3">
      <c r="B79" s="8" t="s">
        <v>6</v>
      </c>
      <c r="F79" s="48">
        <f>('Financial Statements'!B8-'Financial Statements'!C8)/'Financial Statements'!C8</f>
        <v>7.7937876041846058E-2</v>
      </c>
      <c r="G79" s="48">
        <f>('Financial Statements'!C8-'Financial Statements'!D8)/'Financial Statements'!D8</f>
        <v>0.33259384733074693</v>
      </c>
      <c r="H79" s="48">
        <f>('Financial Statements'!D8-'Financial Statements'!E8)/'Financial Statements'!E8</f>
        <v>5.5120803769784836E-2</v>
      </c>
    </row>
    <row r="80" spans="1:8" x14ac:dyDescent="0.3">
      <c r="B80" s="11" t="s">
        <v>176</v>
      </c>
      <c r="C80" s="7"/>
      <c r="H80" s="48"/>
    </row>
    <row r="81" spans="2:8" x14ac:dyDescent="0.3">
      <c r="B81" s="1" t="s">
        <v>4</v>
      </c>
      <c r="F81" s="50">
        <f>('Financial Statements'!B10-'Financial Statements'!C10)/'Financial Statements'!C10</f>
        <v>4.7876379599097081E-2</v>
      </c>
      <c r="G81" s="50">
        <f>('Financial Statements'!C10-'Financial Statements'!D10)/'Financial Statements'!D10</f>
        <v>0.27087767539626934</v>
      </c>
      <c r="H81" s="50">
        <f>('Financial Statements'!D10-'Financial Statements'!E10)/'Financial Statements'!E10</f>
        <v>4.3380507048470303E-2</v>
      </c>
    </row>
    <row r="82" spans="2:8" x14ac:dyDescent="0.3">
      <c r="B82" s="1" t="s">
        <v>5</v>
      </c>
      <c r="F82" s="50">
        <f>('Financial Statements'!B11-'Financial Statements'!C11)/'Financial Statements'!C11</f>
        <v>6.5652908520395847E-2</v>
      </c>
      <c r="G82" s="50">
        <f>('Financial Statements'!C11-'Financial Statements'!D11)/'Financial Statements'!D11</f>
        <v>0.13363979642094895</v>
      </c>
      <c r="H82" s="50">
        <f>('Financial Statements'!D11-'Financial Statements'!E11)/'Financial Statements'!E11</f>
        <v>8.8585726200405099E-2</v>
      </c>
    </row>
    <row r="83" spans="2:8" x14ac:dyDescent="0.3">
      <c r="B83" s="8" t="s">
        <v>8</v>
      </c>
      <c r="F83" s="48">
        <f>('Financial Statements'!B12-'Financial Statements'!C12)/'Financial Statements'!C12</f>
        <v>4.9605363858747961E-2</v>
      </c>
      <c r="G83" s="48">
        <f>('Financial Statements'!C12-'Financial Statements'!D12)/'Financial Statements'!D12</f>
        <v>0.25608785142634716</v>
      </c>
      <c r="H83" s="48">
        <f>('Financial Statements'!D12-'Financial Statements'!E12)/'Financial Statements'!E12</f>
        <v>4.8070860787973943E-2</v>
      </c>
    </row>
    <row r="84" spans="2:8" x14ac:dyDescent="0.3">
      <c r="B84" s="21"/>
      <c r="F84" s="48"/>
      <c r="G84" s="48"/>
      <c r="H84" s="48"/>
    </row>
    <row r="85" spans="2:8" x14ac:dyDescent="0.3">
      <c r="B85" s="21" t="s">
        <v>175</v>
      </c>
      <c r="F85" s="48">
        <f>('Financial Statements'!B13-'Financial Statements'!C13)/'Financial Statements'!C13</f>
        <v>0.11741997958596143</v>
      </c>
      <c r="G85" s="48">
        <f>('Financial Statements'!C13-'Financial Statements'!D13)/'Financial Statements'!D13</f>
        <v>0.45619116582186819</v>
      </c>
      <c r="H85" s="48">
        <f>('Financial Statements'!D13-'Financial Statements'!E13)/'Financial Statements'!E13</f>
        <v>6.6712740873241722E-2</v>
      </c>
    </row>
    <row r="86" spans="2:8" x14ac:dyDescent="0.3">
      <c r="B86" s="1" t="s">
        <v>4</v>
      </c>
      <c r="F86" s="50">
        <f>(('Financial Statements'!B6-'Financial Statements'!B10)-('Financial Statements'!C6-'Financial Statements'!C10))/('Financial Statements'!C6-'Financial Statements'!C10)</f>
        <v>9.1338013431501247E-2</v>
      </c>
      <c r="G86" s="50">
        <f>(('Financial Statements'!C6-'Financial Statements'!C10)-('Financial Statements'!D6-'Financial Statements'!D10))/('Financial Statements'!D6-'Financial Statements'!D10)</f>
        <v>0.51345359266350898</v>
      </c>
      <c r="H86" s="50">
        <f>(('Financial Statements'!D6-'Financial Statements'!D10)-('Financial Statements'!E6-'Financial Statements'!E10))/('Financial Statements'!E6-'Financial Statements'!E10)</f>
        <v>8.3324865359211461E-3</v>
      </c>
    </row>
    <row r="87" spans="2:8" x14ac:dyDescent="0.3">
      <c r="B87" s="1" t="s">
        <v>5</v>
      </c>
      <c r="F87" s="50">
        <f>(('Financial Statements'!B7-'Financial Statements'!B11)-('Financial Statements'!C7-'Financial Statements'!C11))/('Financial Statements'!C7-'Financial Statements'!C11)</f>
        <v>0.17488996017606373</v>
      </c>
      <c r="G87" s="50">
        <f>(('Financial Statements'!C7-'Financial Statements'!C11)-('Financial Statements'!D7-'Financial Statements'!D11))/('Financial Statements'!D7-'Financial Statements'!D11)</f>
        <v>0.34413297647555996</v>
      </c>
      <c r="H87" s="50">
        <f>(('Financial Statements'!D7-'Financial Statements'!D11)-('Financial Statements'!E7-'Financial Statements'!E11))/('Financial Statements'!E7-'Financial Statements'!E11)</f>
        <v>0.20301643789188273</v>
      </c>
    </row>
    <row r="88" spans="2:8" x14ac:dyDescent="0.3">
      <c r="B88" s="11" t="s">
        <v>90</v>
      </c>
      <c r="C88" s="7"/>
      <c r="D88" s="7"/>
      <c r="F88" s="48"/>
      <c r="G88" s="48"/>
      <c r="H88" s="48"/>
    </row>
    <row r="89" spans="2:8" x14ac:dyDescent="0.3">
      <c r="B89" s="1" t="s">
        <v>11</v>
      </c>
      <c r="F89" s="48"/>
      <c r="G89" s="48"/>
      <c r="H89" s="48"/>
    </row>
    <row r="90" spans="2:8" x14ac:dyDescent="0.3">
      <c r="B90" s="1" t="s">
        <v>12</v>
      </c>
      <c r="F90" s="50">
        <f>('Financial Statements'!B15-'Financial Statements'!C15)/'Financial Statements'!C15</f>
        <v>0.19791001186456147</v>
      </c>
      <c r="G90" s="50">
        <f>('Financial Statements'!C15-'Financial Statements'!D15)/'Financial Statements'!D15</f>
        <v>0.16862201365187712</v>
      </c>
      <c r="H90" s="50">
        <f>('Financial Statements'!D15-'Financial Statements'!E15)/'Financial Statements'!E15</f>
        <v>0.15631744465684158</v>
      </c>
    </row>
    <row r="91" spans="2:8" x14ac:dyDescent="0.3">
      <c r="B91" s="8" t="s">
        <v>13</v>
      </c>
      <c r="F91" s="50">
        <f>('Financial Statements'!B16-'Financial Statements'!C16)/'Financial Statements'!C16</f>
        <v>0.14203795567287125</v>
      </c>
      <c r="G91" s="50">
        <f>('Financial Statements'!C16-'Financial Statements'!D16)/'Financial Statements'!D16</f>
        <v>0.10328379192608958</v>
      </c>
      <c r="H91" s="50">
        <f>('Financial Statements'!D16-'Financial Statements'!E16)/'Financial Statements'!E16</f>
        <v>9.1586736092080026E-2</v>
      </c>
    </row>
    <row r="92" spans="2:8" x14ac:dyDescent="0.3">
      <c r="B92" s="21"/>
      <c r="F92" s="48">
        <f>('Financial Statements'!B17-'Financial Statements'!C17)/'Financial Statements'!C17</f>
        <v>0.16993642764372138</v>
      </c>
      <c r="G92" s="48">
        <f>('Financial Statements'!C17-'Financial Statements'!D17)/'Financial Statements'!D17</f>
        <v>0.13496948381090307</v>
      </c>
      <c r="H92" s="48">
        <f>('Financial Statements'!D17-'Financial Statements'!E17)/'Financial Statements'!E17</f>
        <v>0.12204747257849226</v>
      </c>
    </row>
    <row r="93" spans="2:8" x14ac:dyDescent="0.3">
      <c r="B93" s="21"/>
    </row>
    <row r="94" spans="2:8" x14ac:dyDescent="0.3">
      <c r="B94" s="49" t="s">
        <v>91</v>
      </c>
      <c r="C94" s="7"/>
      <c r="D94" s="7"/>
      <c r="E94" s="7"/>
    </row>
    <row r="95" spans="2:8" x14ac:dyDescent="0.3">
      <c r="B95" s="45" t="s">
        <v>25</v>
      </c>
      <c r="C95" s="7"/>
      <c r="D95" s="7"/>
      <c r="E95" s="7"/>
    </row>
    <row r="96" spans="2:8" x14ac:dyDescent="0.3">
      <c r="B96" s="1" t="s">
        <v>26</v>
      </c>
      <c r="C96" s="7"/>
      <c r="D96" s="7"/>
      <c r="E96" s="7"/>
      <c r="F96" s="35">
        <f>('Financial Statements'!B35-'Financial Statements'!C35)/'Financial Statements'!C35</f>
        <v>-0.32323983972524328</v>
      </c>
      <c r="G96" s="35">
        <f>('Financial Statements'!C35-'Financial Statements'!D35)/'Financial Statements'!D35</f>
        <v>-8.0913299663299659E-2</v>
      </c>
      <c r="H96" s="35">
        <f>('Financial Statements'!D35-'Financial Statements'!E35)/'Financial Statements'!E35</f>
        <v>-0.22168536565391861</v>
      </c>
    </row>
    <row r="97" spans="2:8" x14ac:dyDescent="0.3">
      <c r="B97" s="1" t="s">
        <v>27</v>
      </c>
      <c r="C97" s="7"/>
      <c r="D97" s="7"/>
      <c r="E97" s="7"/>
      <c r="F97" s="35">
        <f>('Financial Statements'!B36-'Financial Statements'!C36)/'Financial Statements'!C36</f>
        <v>-0.10978735694429402</v>
      </c>
      <c r="G97" s="35">
        <f>('Financial Statements'!C36-'Financial Statements'!D36)/'Financial Statements'!D36</f>
        <v>-0.47665652691442933</v>
      </c>
      <c r="H97" s="35">
        <f>('Financial Statements'!D36-'Financial Statements'!E36)/'Financial Statements'!E36</f>
        <v>2.3475721772088256E-2</v>
      </c>
    </row>
    <row r="98" spans="2:8" x14ac:dyDescent="0.3">
      <c r="B98" s="1" t="s">
        <v>28</v>
      </c>
      <c r="C98" s="7"/>
      <c r="D98" s="7"/>
      <c r="E98" s="7"/>
      <c r="F98" s="35">
        <f>('Financial Statements'!B37-'Financial Statements'!C37)/'Financial Statements'!C37</f>
        <v>7.2532156176269125E-2</v>
      </c>
      <c r="G98" s="35">
        <f>('Financial Statements'!C37-'Financial Statements'!D37)/'Financial Statements'!D37</f>
        <v>0.63014888337468977</v>
      </c>
      <c r="H98" s="35">
        <f>('Financial Statements'!D37-'Financial Statements'!E37)/'Financial Statements'!E37</f>
        <v>-0.29686818459391084</v>
      </c>
    </row>
    <row r="99" spans="2:8" x14ac:dyDescent="0.3">
      <c r="B99" s="1" t="s">
        <v>29</v>
      </c>
      <c r="C99" s="7"/>
      <c r="D99" s="7"/>
      <c r="E99" s="7"/>
      <c r="F99" s="35">
        <f>('Financial Statements'!B38-'Financial Statements'!C38)/'Financial Statements'!C38</f>
        <v>-0.24832826747720366</v>
      </c>
      <c r="G99" s="35">
        <f>('Financial Statements'!C38-'Financial Statements'!D38)/'Financial Statements'!D38</f>
        <v>0.62029056882541245</v>
      </c>
      <c r="H99" s="35">
        <f>('Financial Statements'!D38-'Financial Statements'!E38)/'Financial Statements'!E38</f>
        <v>-1.0959571358986848E-2</v>
      </c>
    </row>
    <row r="100" spans="2:8" x14ac:dyDescent="0.3">
      <c r="B100" s="1" t="s">
        <v>47</v>
      </c>
      <c r="C100" s="7"/>
      <c r="D100" s="7"/>
      <c r="E100" s="7"/>
      <c r="F100" s="35">
        <f>('Financial Statements'!B39-'Financial Statements'!C39)/'Financial Statements'!C39</f>
        <v>0.29808149674964324</v>
      </c>
      <c r="G100" s="35">
        <f>('Financial Statements'!C39-'Financial Statements'!D39)/'Financial Statements'!D39</f>
        <v>0.18302461899179367</v>
      </c>
      <c r="H100" s="35">
        <f>('Financial Statements'!D39-'Financial Statements'!E39)/'Financial Statements'!E39</f>
        <v>-6.7881807850336567E-2</v>
      </c>
    </row>
    <row r="101" spans="2:8" x14ac:dyDescent="0.3">
      <c r="B101" s="44" t="s">
        <v>30</v>
      </c>
      <c r="C101" s="7"/>
      <c r="D101" s="7"/>
      <c r="E101" s="7"/>
      <c r="F101" s="35">
        <f>('Financial Statements'!B40-'Financial Statements'!C40)/'Financial Statements'!C40</f>
        <v>0.50400396853518536</v>
      </c>
      <c r="G101" s="35">
        <f>('Financial Statements'!C40-'Financial Statements'!D40)/'Financial Statements'!D40</f>
        <v>0.25275213068181818</v>
      </c>
      <c r="H101" s="35">
        <f>('Financial Statements'!D40-'Financial Statements'!E40)/'Financial Statements'!E40</f>
        <v>-8.8082901554404139E-2</v>
      </c>
    </row>
    <row r="102" spans="2:8" x14ac:dyDescent="0.3">
      <c r="B102" s="46" t="s">
        <v>31</v>
      </c>
      <c r="C102" s="7"/>
      <c r="D102" s="7"/>
      <c r="E102" s="7"/>
      <c r="F102" s="48">
        <f>('Financial Statements'!B41-'Financial Statements'!C41)/'Financial Statements'!C41</f>
        <v>4.2199412619775131E-3</v>
      </c>
      <c r="G102" s="48">
        <f>('Financial Statements'!C41-'Financial Statements'!D41)/'Financial Statements'!D41</f>
        <v>-6.176894226687913E-2</v>
      </c>
      <c r="H102" s="48">
        <f>('Financial Statements'!D41-'Financial Statements'!E41)/'Financial Statements'!E41</f>
        <v>-0.11734502730025366</v>
      </c>
    </row>
    <row r="103" spans="2:8" x14ac:dyDescent="0.3">
      <c r="B103" s="21"/>
      <c r="C103" s="7"/>
      <c r="D103" s="7"/>
      <c r="E103" s="7"/>
    </row>
    <row r="104" spans="2:8" x14ac:dyDescent="0.3">
      <c r="B104" s="45" t="s">
        <v>48</v>
      </c>
      <c r="C104" s="7"/>
      <c r="D104" s="7"/>
      <c r="E104" s="7"/>
    </row>
    <row r="105" spans="2:8" x14ac:dyDescent="0.3">
      <c r="B105" s="1" t="s">
        <v>27</v>
      </c>
      <c r="C105" s="7"/>
      <c r="D105" s="7"/>
      <c r="E105" s="7"/>
      <c r="F105" s="35">
        <f>('Financial Statements'!B43-'Financial Statements'!C43)/'Financial Statements'!C43</f>
        <v>-5.5303142863845724E-2</v>
      </c>
      <c r="G105" s="35">
        <f>('Financial Statements'!C43-'Financial Statements'!D43)/'Financial Statements'!D43</f>
        <v>0.26752703519779553</v>
      </c>
      <c r="H105" s="35">
        <f>('Financial Statements'!D43-'Financial Statements'!E43)/'Financial Statements'!E43</f>
        <v>-4.228173265869889E-2</v>
      </c>
    </row>
    <row r="106" spans="2:8" x14ac:dyDescent="0.3">
      <c r="B106" s="1" t="s">
        <v>32</v>
      </c>
      <c r="C106" s="7"/>
      <c r="D106" s="7"/>
      <c r="E106" s="7"/>
      <c r="F106" s="35">
        <f>('Financial Statements'!B44-'Financial Statements'!C44)/'Financial Statements'!C44</f>
        <v>6.7875253549695744E-2</v>
      </c>
      <c r="G106" s="35">
        <f>('Financial Statements'!C44-'Financial Statements'!D44)/'Financial Statements'!D44</f>
        <v>7.2730239895555673E-2</v>
      </c>
      <c r="H106" s="35">
        <f>('Financial Statements'!D44-'Financial Statements'!E44)/'Financial Statements'!E44</f>
        <v>-1.6373267697576115E-2</v>
      </c>
    </row>
    <row r="107" spans="2:8" x14ac:dyDescent="0.3">
      <c r="B107" s="44" t="s">
        <v>49</v>
      </c>
      <c r="C107" s="7"/>
      <c r="D107" s="7"/>
      <c r="E107" s="7"/>
      <c r="F107" s="35">
        <f>('Financial Statements'!B45-'Financial Statements'!C45)/'Financial Statements'!C45</f>
        <v>0.11420909332842023</v>
      </c>
      <c r="G107" s="35">
        <f>('Financial Statements'!C45-'Financial Statements'!D45)/'Financial Statements'!D45</f>
        <v>0.1487935656836461</v>
      </c>
      <c r="H107" s="35">
        <f>('Financial Statements'!D45-'Financial Statements'!E45)/'Financial Statements'!E45</f>
        <v>0.28940505791739946</v>
      </c>
    </row>
    <row r="108" spans="2:8" x14ac:dyDescent="0.3">
      <c r="B108" s="46" t="s">
        <v>50</v>
      </c>
      <c r="C108" s="7"/>
      <c r="D108" s="7"/>
      <c r="E108" s="7"/>
      <c r="F108" s="48">
        <f>('Financial Statements'!B46-'Financial Statements'!C46)/'Financial Statements'!C46</f>
        <v>5.4772720964443994E-3</v>
      </c>
      <c r="G108" s="48">
        <f>('Financial Statements'!C46-'Financial Statements'!D46)/'Financial Statements'!D46</f>
        <v>0.19975579297904814</v>
      </c>
      <c r="H108" s="48">
        <f>('Financial Statements'!D46-'Financial Statements'!E46)/'Financial Statements'!E46</f>
        <v>2.548706010916521E-2</v>
      </c>
    </row>
    <row r="109" spans="2:8" x14ac:dyDescent="0.3">
      <c r="B109" s="21"/>
      <c r="C109" s="7"/>
      <c r="D109" s="7"/>
      <c r="E109" s="7"/>
    </row>
    <row r="110" spans="2:8" ht="15" thickBot="1" x14ac:dyDescent="0.35">
      <c r="B110" s="9" t="s">
        <v>33</v>
      </c>
      <c r="C110" s="7"/>
      <c r="D110" s="7"/>
      <c r="E110" s="7"/>
      <c r="F110" s="48">
        <f>('Financial Statements'!B47-'Financial Statements'!C47)/'Financial Statements'!C47</f>
        <v>4.9942735369029236E-3</v>
      </c>
      <c r="G110" s="48">
        <f>('Financial Statements'!C47-'Financial Statements'!D47)/'Financial Statements'!D47</f>
        <v>8.3714123400681711E-2</v>
      </c>
      <c r="H110" s="48">
        <f>('Financial Statements'!D47-'Financial Statements'!E47)/'Financial Statements'!E47</f>
        <v>-4.3212137683300053E-2</v>
      </c>
    </row>
    <row r="111" spans="2:8" ht="15" thickTop="1" x14ac:dyDescent="0.3">
      <c r="C111" s="7"/>
      <c r="D111" s="7"/>
      <c r="E111" s="7"/>
    </row>
    <row r="112" spans="2:8" x14ac:dyDescent="0.3">
      <c r="B112" s="45" t="s">
        <v>34</v>
      </c>
      <c r="C112" s="7"/>
      <c r="D112" s="7"/>
      <c r="E112" s="7"/>
    </row>
    <row r="113" spans="2:8" x14ac:dyDescent="0.3">
      <c r="B113" s="1" t="s">
        <v>35</v>
      </c>
      <c r="C113" s="7"/>
      <c r="D113" s="7"/>
      <c r="E113" s="7"/>
      <c r="F113" s="35">
        <f>('Financial Statements'!B50-'Financial Statements'!C50)/'Financial Statements'!C50</f>
        <v>0.17077223672917846</v>
      </c>
      <c r="G113" s="35">
        <f>('Financial Statements'!C50-'Financial Statements'!D50)/'Financial Statements'!D50</f>
        <v>0.29475600529600909</v>
      </c>
      <c r="H113" s="35">
        <f>('Financial Statements'!D50-'Financial Statements'!E50)/'Financial Statements'!E50</f>
        <v>-8.5214983995155286E-2</v>
      </c>
    </row>
    <row r="114" spans="2:8" x14ac:dyDescent="0.3">
      <c r="B114" s="1" t="s">
        <v>36</v>
      </c>
      <c r="C114" s="7"/>
      <c r="D114" s="7"/>
      <c r="E114" s="7"/>
      <c r="F114" s="35">
        <f>('Financial Statements'!B51-'Financial Statements'!C51)/'Financial Statements'!C51</f>
        <v>0.28113616743520098</v>
      </c>
      <c r="G114" s="35">
        <f>('Financial Statements'!C51-'Financial Statements'!D51)/'Financial Statements'!D51</f>
        <v>0.1126651672757942</v>
      </c>
      <c r="H114" s="35">
        <f>('Financial Statements'!D51-'Financial Statements'!E51)/'Financial Statements'!E51</f>
        <v>0.13160127253446446</v>
      </c>
    </row>
    <row r="115" spans="2:8" x14ac:dyDescent="0.3">
      <c r="B115" s="1" t="s">
        <v>37</v>
      </c>
      <c r="C115" s="7"/>
      <c r="D115" s="7"/>
      <c r="E115" s="7"/>
      <c r="F115" s="35">
        <f>('Financial Statements'!B52-'Financial Statements'!C52)/'Financial Statements'!C52</f>
        <v>3.9411455596426698E-2</v>
      </c>
      <c r="G115" s="35">
        <f>('Financial Statements'!C52-'Financial Statements'!D52)/'Financial Statements'!D52</f>
        <v>0.14586783079933766</v>
      </c>
      <c r="H115" s="35">
        <f>('Financial Statements'!D52-'Financial Statements'!E52)/'Financial Statements'!E52</f>
        <v>0.20300615718942411</v>
      </c>
    </row>
    <row r="116" spans="2:8" x14ac:dyDescent="0.3">
      <c r="B116" s="1" t="s">
        <v>38</v>
      </c>
      <c r="C116" s="7"/>
      <c r="D116" s="7"/>
      <c r="E116" s="7"/>
      <c r="F116" s="35">
        <f>('Financial Statements'!B53-'Financial Statements'!C53)/'Financial Statements'!C53</f>
        <v>0.66366666666666663</v>
      </c>
      <c r="G116" s="35">
        <f>('Financial Statements'!C53-'Financial Statements'!D53)/'Financial Statements'!D53</f>
        <v>0.20096076861489193</v>
      </c>
      <c r="H116" s="35">
        <f>('Financial Statements'!D53-'Financial Statements'!E53)/'Financial Statements'!E53</f>
        <v>-0.16454849498327759</v>
      </c>
    </row>
    <row r="117" spans="2:8" x14ac:dyDescent="0.3">
      <c r="B117" s="1" t="s">
        <v>39</v>
      </c>
      <c r="C117" s="7"/>
      <c r="D117" s="7"/>
      <c r="E117" s="7"/>
      <c r="F117" s="35">
        <f>('Financial Statements'!B54-'Financial Statements'!C54)/'Financial Statements'!C54</f>
        <v>0.15759908457297409</v>
      </c>
      <c r="G117" s="35">
        <f>('Financial Statements'!C54-'Financial Statements'!D54)/'Financial Statements'!D54</f>
        <v>9.5748318705117977E-2</v>
      </c>
      <c r="H117" s="35">
        <f>('Financial Statements'!D54-'Financial Statements'!E54)/'Financial Statements'!E54</f>
        <v>-0.1449317738791423</v>
      </c>
    </row>
    <row r="118" spans="2:8" x14ac:dyDescent="0.3">
      <c r="B118" s="46" t="s">
        <v>40</v>
      </c>
      <c r="C118" s="7"/>
      <c r="D118" s="7"/>
      <c r="E118" s="7"/>
      <c r="F118" s="48">
        <f>('Financial Statements'!B55-'Financial Statements'!C55)/'Financial Statements'!C55</f>
        <v>0.22713398841258836</v>
      </c>
      <c r="G118" s="48">
        <f>('Financial Statements'!C55-'Financial Statements'!D55)/'Financial Statements'!D55</f>
        <v>0.19061219067860938</v>
      </c>
      <c r="H118" s="48">
        <f>('Financial Statements'!D55-'Financial Statements'!E55)/'Financial Statements'!E55</f>
        <v>-3.0836754384305416E-3</v>
      </c>
    </row>
    <row r="119" spans="2:8" x14ac:dyDescent="0.3">
      <c r="B119" s="21"/>
      <c r="C119" s="7"/>
      <c r="D119" s="7"/>
      <c r="E119" s="7"/>
    </row>
    <row r="120" spans="2:8" x14ac:dyDescent="0.3">
      <c r="B120" s="45" t="s">
        <v>51</v>
      </c>
      <c r="C120" s="7"/>
      <c r="D120" s="7"/>
      <c r="E120" s="7"/>
    </row>
    <row r="121" spans="2:8" x14ac:dyDescent="0.3">
      <c r="B121" s="1" t="s">
        <v>37</v>
      </c>
      <c r="C121" s="7"/>
      <c r="D121" s="7"/>
      <c r="E121" s="7"/>
      <c r="F121" s="50"/>
      <c r="G121" s="50"/>
      <c r="H121" s="50"/>
    </row>
    <row r="122" spans="2:8" x14ac:dyDescent="0.3">
      <c r="B122" s="1" t="s">
        <v>39</v>
      </c>
      <c r="C122" s="7"/>
      <c r="D122" s="7"/>
      <c r="E122" s="7"/>
      <c r="F122" s="50">
        <f>('Financial Statements'!B58-'Financial Statements'!C58)/'Financial Statements'!C58</f>
        <v>-9.3001301486627677E-2</v>
      </c>
      <c r="G122" s="50">
        <f>('Financial Statements'!C58-'Financial Statements'!D58)/'Financial Statements'!D58</f>
        <v>0.1058003182421681</v>
      </c>
      <c r="H122" s="50">
        <f>('Financial Statements'!D58-'Financial Statements'!E58)/'Financial Statements'!E58</f>
        <v>7.4721971091528963E-2</v>
      </c>
    </row>
    <row r="123" spans="2:8" x14ac:dyDescent="0.3">
      <c r="B123" s="1" t="s">
        <v>52</v>
      </c>
      <c r="C123" s="7"/>
      <c r="D123" s="7"/>
      <c r="E123" s="7"/>
      <c r="F123" s="50">
        <f>('Financial Statements'!B59-'Financial Statements'!C59)/'Financial Statements'!C59</f>
        <v>-7.8443506797937171E-2</v>
      </c>
      <c r="G123" s="50">
        <f>('Financial Statements'!C59-'Financial Statements'!D59)/'Financial Statements'!D59</f>
        <v>-2.1380069737566527E-2</v>
      </c>
      <c r="H123" s="50">
        <f>('Financial Statements'!D59-'Financial Statements'!E59)/'Financial Statements'!E59</f>
        <v>7.8945805199691105E-2</v>
      </c>
    </row>
    <row r="124" spans="2:8" x14ac:dyDescent="0.3">
      <c r="B124" s="23" t="s">
        <v>53</v>
      </c>
      <c r="C124" s="7"/>
      <c r="D124" s="7"/>
      <c r="E124" s="7"/>
      <c r="F124" s="48">
        <f>('Financial Statements'!B60-'Financial Statements'!C60)/'Financial Statements'!C60</f>
        <v>-8.8222075835277747E-2</v>
      </c>
      <c r="G124" s="48">
        <f>('Financial Statements'!C60-'Financial Statements'!D60)/'Financial Statements'!D60</f>
        <v>6.0552243775994566E-2</v>
      </c>
      <c r="H124" s="48">
        <f>('Financial Statements'!D60-'Financial Statements'!E60)/'Financial Statements'!E60</f>
        <v>7.6220926147143556E-2</v>
      </c>
    </row>
    <row r="125" spans="2:8" x14ac:dyDescent="0.3">
      <c r="B125" s="47"/>
      <c r="C125" s="7"/>
      <c r="D125" s="7"/>
      <c r="E125" s="7"/>
    </row>
    <row r="126" spans="2:8" x14ac:dyDescent="0.3">
      <c r="B126" s="46" t="s">
        <v>41</v>
      </c>
      <c r="C126" s="7"/>
      <c r="D126" s="7"/>
      <c r="E126" s="7"/>
      <c r="F126" s="48">
        <f>('Financial Statements'!B61-'Financial Statements'!C61)/'Financial Statements'!C61</f>
        <v>4.9219900525160468E-2</v>
      </c>
      <c r="G126" s="48">
        <f>('Financial Statements'!C61-'Financial Statements'!D61)/'Financial Statements'!D61</f>
        <v>0.11356841449783213</v>
      </c>
      <c r="H126" s="48">
        <f>('Financial Statements'!D61-'Financial Statements'!E61)/'Financial Statements'!E61</f>
        <v>4.2418597900237068E-2</v>
      </c>
    </row>
    <row r="127" spans="2:8" x14ac:dyDescent="0.3">
      <c r="B127" s="11"/>
      <c r="C127" s="7"/>
      <c r="D127" s="7"/>
      <c r="E127" s="7"/>
    </row>
    <row r="128" spans="2:8" x14ac:dyDescent="0.3">
      <c r="B128" s="8" t="s">
        <v>45</v>
      </c>
      <c r="C128" s="7"/>
      <c r="D128" s="7"/>
      <c r="E128" s="7"/>
      <c r="F128" s="48">
        <f>('Financial Statements'!B67-'Financial Statements'!C67)/'Financial Statements'!C67</f>
        <v>-0.19682992550324932</v>
      </c>
      <c r="G128" s="48">
        <f>('Financial Statements'!C67-'Financial Statements'!D67)/'Financial Statements'!D67</f>
        <v>-3.4420483937617659E-2</v>
      </c>
      <c r="H128" s="48">
        <f>('Financial Statements'!D67-'Financial Statements'!E67)/'Financial Statements'!E67</f>
        <v>-0.27792635487578465</v>
      </c>
    </row>
    <row r="129" spans="2:8" ht="15" thickBot="1" x14ac:dyDescent="0.35">
      <c r="B129" s="9" t="s">
        <v>46</v>
      </c>
      <c r="C129" s="7"/>
      <c r="D129" s="7"/>
      <c r="E129" s="7"/>
      <c r="F129" s="48">
        <f>('Financial Statements'!B68-'Financial Statements'!C68)/'Financial Statements'!C68</f>
        <v>4.9942735369029236E-3</v>
      </c>
      <c r="G129" s="48">
        <f>('Financial Statements'!C68-'Financial Statements'!D68)/'Financial Statements'!D68</f>
        <v>8.3714123400681711E-2</v>
      </c>
      <c r="H129" s="48">
        <f>('Financial Statements'!D68-'Financial Statements'!E68)/'Financial Statements'!E68</f>
        <v>-4.3212137683300053E-2</v>
      </c>
    </row>
    <row r="130" spans="2:8" ht="15" thickTop="1" x14ac:dyDescent="0.3">
      <c r="B130" s="11"/>
      <c r="C130" s="7"/>
      <c r="D130" s="7"/>
      <c r="E130" s="7"/>
    </row>
    <row r="131" spans="2:8" x14ac:dyDescent="0.3">
      <c r="B131" s="11"/>
      <c r="C131" s="7"/>
      <c r="D131" s="7"/>
      <c r="E131" s="7"/>
    </row>
    <row r="132" spans="2:8" x14ac:dyDescent="0.3">
      <c r="B132" s="1"/>
    </row>
    <row r="133" spans="2:8" x14ac:dyDescent="0.3">
      <c r="B133" s="17" t="s">
        <v>92</v>
      </c>
    </row>
    <row r="134" spans="2:8" x14ac:dyDescent="0.3">
      <c r="B134" s="1" t="s">
        <v>146</v>
      </c>
      <c r="F134" s="48">
        <f>'Financial Statements'!B12/'Financial Statements'!B8</f>
        <v>0.56690369438639909</v>
      </c>
      <c r="G134" s="48">
        <f>'Financial Statements'!C12/'Financial Statements'!C8</f>
        <v>0.58220640374832222</v>
      </c>
      <c r="H134" s="48">
        <f>'Financial Statements'!D12/'Financial Statements'!D8</f>
        <v>0.61766752272189129</v>
      </c>
    </row>
    <row r="135" spans="2:8" x14ac:dyDescent="0.3">
      <c r="B135" s="1" t="s">
        <v>89</v>
      </c>
      <c r="F135" s="48">
        <f>'Financial Statements'!B13/'Financial Statements'!B8</f>
        <v>0.43309630561360085</v>
      </c>
      <c r="G135" s="48">
        <f>'Financial Statements'!C13/'Financial Statements'!C8</f>
        <v>0.41779359625167778</v>
      </c>
      <c r="H135" s="48">
        <f>'Financial Statements'!D13/'Financial Statements'!D8</f>
        <v>0.38233247727810865</v>
      </c>
    </row>
    <row r="136" spans="2:8" x14ac:dyDescent="0.3">
      <c r="B136" s="11" t="s">
        <v>90</v>
      </c>
    </row>
    <row r="137" spans="2:8" x14ac:dyDescent="0.3">
      <c r="B137" s="1" t="s">
        <v>11</v>
      </c>
      <c r="F137" s="48">
        <f>'Financial Statements'!B15/'Financial Statements'!B8</f>
        <v>6.657148363798665E-2</v>
      </c>
      <c r="G137" s="48">
        <f>'Financial Statements'!C15/'Financial Statements'!C8</f>
        <v>5.9904269074427925E-2</v>
      </c>
      <c r="H137" s="48">
        <f>'Financial Statements'!D15/'Financial Statements'!D8</f>
        <v>6.8309564140393061E-2</v>
      </c>
    </row>
    <row r="138" spans="2:8" x14ac:dyDescent="0.3">
      <c r="B138" s="1" t="s">
        <v>12</v>
      </c>
      <c r="F138" s="48">
        <f>'Financial Statements'!B16/'Financial Statements'!B8</f>
        <v>6.3637378020328261E-2</v>
      </c>
      <c r="G138" s="48">
        <f>'Financial Statements'!C16/'Financial Statements'!C8</f>
        <v>6.006555190163388E-2</v>
      </c>
      <c r="H138" s="48">
        <f>'Financial Statements'!D16/'Financial Statements'!D8</f>
        <v>7.2549769593646979E-2</v>
      </c>
    </row>
    <row r="139" spans="2:8" x14ac:dyDescent="0.3">
      <c r="B139" s="1" t="s">
        <v>14</v>
      </c>
      <c r="F139" s="48">
        <f>'Financial Statements'!B18/'Financial Statements'!B8</f>
        <v>0.30288744395528594</v>
      </c>
      <c r="G139" s="48">
        <f>'Financial Statements'!C18/'Financial Statements'!C8</f>
        <v>0.29782377527561593</v>
      </c>
      <c r="H139" s="48">
        <f>'Financial Statements'!D18/'Financial Statements'!D8</f>
        <v>0.24147314354406862</v>
      </c>
    </row>
    <row r="140" spans="2:8" x14ac:dyDescent="0.3">
      <c r="B140" s="1" t="s">
        <v>93</v>
      </c>
      <c r="F140" s="48">
        <f>'Financial Statements'!B22/'Financial Statements'!B8</f>
        <v>0.25309640705199732</v>
      </c>
      <c r="G140" s="48">
        <f>'Financial Statements'!C22/'Financial Statements'!C8</f>
        <v>0.25881793355694238</v>
      </c>
      <c r="H140" s="48">
        <f>'Financial Statements'!D22/'Financial Statements'!D8</f>
        <v>0.20913611278072236</v>
      </c>
    </row>
    <row r="141" spans="2:8" x14ac:dyDescent="0.3">
      <c r="B141" s="1"/>
    </row>
    <row r="142" spans="2:8" x14ac:dyDescent="0.3">
      <c r="B142" s="17" t="s">
        <v>98</v>
      </c>
    </row>
    <row r="143" spans="2:8" x14ac:dyDescent="0.3">
      <c r="B143" s="1" t="s">
        <v>94</v>
      </c>
      <c r="F143" s="48">
        <f>1-('List of Ratios'!C55/'List of Ratios'!C21)</f>
        <v>0.1581526459839061</v>
      </c>
      <c r="G143" s="48">
        <f>1-('List of Ratios'!D55/'List of Ratios'!D21)</f>
        <v>0.1298769802953903</v>
      </c>
      <c r="H143" s="48">
        <f>1-('List of Ratios'!E55/'List of Ratios'!E21)</f>
        <v>0.13835686924704138</v>
      </c>
    </row>
    <row r="144" spans="2:8" x14ac:dyDescent="0.3">
      <c r="B144" s="1" t="s">
        <v>95</v>
      </c>
      <c r="F144" s="48">
        <f>-F148/'Financial Statements'!B8</f>
        <v>2.7155058732831552E-2</v>
      </c>
      <c r="G144" s="48">
        <f>-G148/'Financial Statements'!C8</f>
        <v>3.0302036264033657E-2</v>
      </c>
      <c r="H144" s="48">
        <f>-H148/'Financial Statements'!D8</f>
        <v>2.6625138881299748E-2</v>
      </c>
    </row>
    <row r="145" spans="2:8" x14ac:dyDescent="0.3">
      <c r="B145" s="1" t="s">
        <v>96</v>
      </c>
      <c r="F145" s="48">
        <f>-F148/F149</f>
        <v>0.25424412944891611</v>
      </c>
      <c r="G145" s="48">
        <f>-G148/G149</f>
        <v>0.28105983772819471</v>
      </c>
      <c r="H145" s="48">
        <f>-H148/H149</f>
        <v>0.19879780231735844</v>
      </c>
    </row>
    <row r="146" spans="2:8" x14ac:dyDescent="0.3">
      <c r="B146" s="1"/>
      <c r="F146" s="48"/>
      <c r="G146" s="48"/>
      <c r="H146" s="48"/>
    </row>
    <row r="147" spans="2:8" x14ac:dyDescent="0.3">
      <c r="B147" s="67" t="s">
        <v>182</v>
      </c>
      <c r="C147" s="52"/>
      <c r="D147" s="52"/>
      <c r="E147" s="52"/>
      <c r="F147" s="52"/>
      <c r="G147" s="52"/>
      <c r="H147" s="52"/>
    </row>
    <row r="148" spans="2:8" x14ac:dyDescent="0.3">
      <c r="B148" s="68" t="s">
        <v>180</v>
      </c>
      <c r="C148" s="52"/>
      <c r="D148" s="52"/>
      <c r="E148" s="52"/>
      <c r="F148" s="57">
        <v>-10708</v>
      </c>
      <c r="G148" s="57">
        <v>-11085</v>
      </c>
      <c r="H148" s="57">
        <v>-7309</v>
      </c>
    </row>
    <row r="149" spans="2:8" x14ac:dyDescent="0.3">
      <c r="B149" s="68" t="s">
        <v>181</v>
      </c>
      <c r="C149" s="52"/>
      <c r="D149" s="52"/>
      <c r="E149" s="52"/>
      <c r="F149" s="57">
        <v>42117</v>
      </c>
      <c r="G149" s="57">
        <v>39440</v>
      </c>
      <c r="H149" s="57">
        <v>36766</v>
      </c>
    </row>
    <row r="150" spans="2:8" x14ac:dyDescent="0.3">
      <c r="B150" s="52"/>
      <c r="C150" s="69" t="s">
        <v>179</v>
      </c>
      <c r="D150" s="52"/>
      <c r="E150" s="52"/>
      <c r="F150" s="52"/>
      <c r="G150" s="52"/>
      <c r="H150" s="52"/>
    </row>
    <row r="151" spans="2:8" x14ac:dyDescent="0.3">
      <c r="B151" s="52"/>
      <c r="C151" s="52" t="s">
        <v>177</v>
      </c>
      <c r="D151" s="52"/>
      <c r="E151" s="52"/>
      <c r="F151" s="52"/>
      <c r="G151" s="52"/>
      <c r="H151" s="52"/>
    </row>
    <row r="152" spans="2:8" x14ac:dyDescent="0.3">
      <c r="B152" s="52"/>
      <c r="C152" s="52" t="s">
        <v>178</v>
      </c>
      <c r="D152" s="52"/>
      <c r="E152" s="52"/>
      <c r="F152" s="52"/>
      <c r="G152" s="52"/>
      <c r="H152" s="52"/>
    </row>
    <row r="213" spans="2:5" x14ac:dyDescent="0.3">
      <c r="B213" s="7"/>
      <c r="C213" s="7"/>
      <c r="D213" s="7"/>
      <c r="E213" s="7"/>
    </row>
    <row r="217" spans="2:5" x14ac:dyDescent="0.3">
      <c r="B217" s="7"/>
    </row>
    <row r="218" spans="2:5" x14ac:dyDescent="0.3">
      <c r="C218" s="12"/>
      <c r="D218" s="12"/>
      <c r="E218" s="12"/>
    </row>
    <row r="219" spans="2:5" x14ac:dyDescent="0.3">
      <c r="B219" s="7"/>
      <c r="C219" s="7"/>
      <c r="D219" s="7"/>
      <c r="E219" s="7"/>
    </row>
    <row r="220" spans="2:5" x14ac:dyDescent="0.3">
      <c r="C220" s="12"/>
      <c r="D220" s="12"/>
      <c r="E220" s="12"/>
    </row>
    <row r="222" spans="2:5" x14ac:dyDescent="0.3">
      <c r="B222" s="7"/>
      <c r="C222" s="26"/>
      <c r="D222" s="26"/>
      <c r="E222" s="26"/>
    </row>
  </sheetData>
  <mergeCells count="2">
    <mergeCell ref="C2:E2"/>
    <mergeCell ref="F74:H7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 Karunaratne</cp:lastModifiedBy>
  <dcterms:created xsi:type="dcterms:W3CDTF">2020-05-18T16:32:37Z</dcterms:created>
  <dcterms:modified xsi:type="dcterms:W3CDTF">2023-12-03T20:10:33Z</dcterms:modified>
</cp:coreProperties>
</file>