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2\"/>
    </mc:Choice>
  </mc:AlternateContent>
  <xr:revisionPtr revIDLastSave="0" documentId="13_ncr:1_{24F08374-2C49-4CA7-89A1-0233C1E131F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19" i="3"/>
  <c r="E19" i="3"/>
  <c r="C21" i="3"/>
  <c r="D21" i="3"/>
  <c r="E21" i="3"/>
  <c r="C27" i="3"/>
  <c r="D27" i="3"/>
  <c r="E27" i="3"/>
  <c r="G130" i="3" l="1"/>
  <c r="H130" i="3"/>
  <c r="G137" i="3"/>
  <c r="H137" i="3"/>
  <c r="C116" i="2"/>
  <c r="D116" i="2"/>
  <c r="E116" i="2"/>
  <c r="B116" i="2"/>
  <c r="C40" i="3"/>
  <c r="D40" i="3"/>
  <c r="E40" i="3"/>
  <c r="G132" i="3"/>
  <c r="H132" i="3"/>
  <c r="H125" i="3"/>
  <c r="H123" i="3"/>
  <c r="H120" i="3"/>
  <c r="G106" i="3"/>
  <c r="G107" i="3"/>
  <c r="G108" i="3"/>
  <c r="G109" i="3"/>
  <c r="H107" i="3"/>
  <c r="H108" i="3"/>
  <c r="H109" i="3"/>
  <c r="H106" i="3"/>
  <c r="G98" i="3"/>
  <c r="H98" i="3"/>
  <c r="G99" i="3"/>
  <c r="H99" i="3"/>
  <c r="G100" i="3"/>
  <c r="H100" i="3"/>
  <c r="G101" i="3"/>
  <c r="H101" i="3"/>
  <c r="G102" i="3"/>
  <c r="H102" i="3"/>
  <c r="G97" i="3"/>
  <c r="H97" i="3"/>
  <c r="G89" i="3"/>
  <c r="H89" i="3"/>
  <c r="G90" i="3"/>
  <c r="H90" i="3"/>
  <c r="G91" i="3"/>
  <c r="H91" i="3"/>
  <c r="G88" i="3"/>
  <c r="H88" i="3"/>
  <c r="G80" i="3"/>
  <c r="G81" i="3"/>
  <c r="G82" i="3"/>
  <c r="G83" i="3"/>
  <c r="G84" i="3"/>
  <c r="H81" i="3"/>
  <c r="H82" i="3"/>
  <c r="H83" i="3"/>
  <c r="H84" i="3"/>
  <c r="H80" i="3"/>
  <c r="H74" i="3"/>
  <c r="G71" i="3"/>
  <c r="H71" i="3"/>
  <c r="G72" i="3"/>
  <c r="H72" i="3"/>
  <c r="G73" i="3"/>
  <c r="H73" i="3"/>
  <c r="G74" i="3"/>
  <c r="G70" i="3"/>
  <c r="H70" i="3"/>
  <c r="G64" i="3"/>
  <c r="H64" i="3"/>
  <c r="G59" i="3"/>
  <c r="H59" i="3"/>
  <c r="G58" i="3"/>
  <c r="H58" i="3"/>
  <c r="D36" i="3"/>
  <c r="D35" i="3"/>
  <c r="C7" i="2"/>
  <c r="H127" i="3" s="1"/>
  <c r="D7" i="2"/>
  <c r="H60" i="3" s="1"/>
  <c r="E7" i="2"/>
  <c r="C118" i="2"/>
  <c r="D118" i="2"/>
  <c r="E118" i="2"/>
  <c r="B118" i="2"/>
  <c r="H124" i="3" l="1"/>
  <c r="H131" i="3"/>
  <c r="H126" i="3"/>
  <c r="E35" i="3"/>
  <c r="E36" i="3"/>
  <c r="C14" i="3" l="1"/>
  <c r="C13" i="3" s="1"/>
  <c r="D14" i="3"/>
  <c r="D13" i="3" s="1"/>
  <c r="D11" i="3"/>
  <c r="E11" i="3"/>
  <c r="C10" i="3"/>
  <c r="D10" i="3"/>
  <c r="E10" i="3"/>
  <c r="C9" i="3"/>
  <c r="D9" i="3"/>
  <c r="E9" i="3"/>
  <c r="C107" i="2"/>
  <c r="D107" i="2"/>
  <c r="E107" i="2"/>
  <c r="C99" i="2"/>
  <c r="D99" i="2"/>
  <c r="E99" i="2"/>
  <c r="C93" i="2"/>
  <c r="D93" i="2"/>
  <c r="E93" i="2"/>
  <c r="E109" i="2" s="1"/>
  <c r="E111" i="2" s="1"/>
  <c r="B107" i="2"/>
  <c r="B99" i="2"/>
  <c r="B93" i="2"/>
  <c r="B109" i="2" s="1"/>
  <c r="B111" i="2" s="1"/>
  <c r="C51" i="3" s="1"/>
  <c r="E73" i="2"/>
  <c r="E119" i="2" s="1"/>
  <c r="E64" i="2"/>
  <c r="E58" i="2"/>
  <c r="E65" i="2" s="1"/>
  <c r="E74" i="2" s="1"/>
  <c r="E48" i="2"/>
  <c r="E42" i="2"/>
  <c r="E20" i="2"/>
  <c r="E15" i="2"/>
  <c r="E9" i="2"/>
  <c r="C73" i="2"/>
  <c r="D73" i="2"/>
  <c r="B73" i="2"/>
  <c r="C64" i="2"/>
  <c r="D64" i="2"/>
  <c r="B64" i="2"/>
  <c r="G110" i="3" s="1"/>
  <c r="C58" i="2"/>
  <c r="D58" i="2"/>
  <c r="D65" i="2" s="1"/>
  <c r="D74" i="2" s="1"/>
  <c r="B58" i="2"/>
  <c r="C48" i="2"/>
  <c r="D48" i="2"/>
  <c r="B48" i="2"/>
  <c r="G92" i="3" s="1"/>
  <c r="C42" i="2"/>
  <c r="D42" i="2"/>
  <c r="D49" i="2" s="1"/>
  <c r="B42" i="2"/>
  <c r="C20" i="2"/>
  <c r="D20" i="2"/>
  <c r="B20" i="2"/>
  <c r="C15" i="2"/>
  <c r="D15" i="2"/>
  <c r="E8" i="3" s="1"/>
  <c r="B15" i="2"/>
  <c r="C9" i="2"/>
  <c r="D9" i="2"/>
  <c r="E17" i="3" s="1"/>
  <c r="B7" i="2"/>
  <c r="E31" i="3" l="1"/>
  <c r="E30" i="3" s="1"/>
  <c r="C5" i="3"/>
  <c r="G85" i="3"/>
  <c r="G114" i="3"/>
  <c r="C43" i="3"/>
  <c r="C42" i="3" s="1"/>
  <c r="C25" i="3"/>
  <c r="B119" i="2"/>
  <c r="H75" i="3"/>
  <c r="D31" i="3"/>
  <c r="D30" i="3" s="1"/>
  <c r="E43" i="3"/>
  <c r="E42" i="3" s="1"/>
  <c r="E25" i="3"/>
  <c r="D119" i="2"/>
  <c r="D8" i="3"/>
  <c r="H85" i="3"/>
  <c r="C49" i="2"/>
  <c r="B9" i="2"/>
  <c r="G124" i="3"/>
  <c r="G60" i="3"/>
  <c r="G125" i="3"/>
  <c r="G126" i="3"/>
  <c r="C36" i="3"/>
  <c r="G127" i="3"/>
  <c r="G123" i="3"/>
  <c r="C35" i="3"/>
  <c r="G120" i="3"/>
  <c r="G131" i="3"/>
  <c r="H110" i="3"/>
  <c r="E26" i="3"/>
  <c r="E34" i="3"/>
  <c r="H114" i="3"/>
  <c r="D43" i="3"/>
  <c r="D42" i="3" s="1"/>
  <c r="C119" i="2"/>
  <c r="D25" i="3"/>
  <c r="D109" i="2"/>
  <c r="D111" i="2" s="1"/>
  <c r="E51" i="3" s="1"/>
  <c r="D17" i="3"/>
  <c r="H66" i="3"/>
  <c r="H121" i="3"/>
  <c r="H92" i="3"/>
  <c r="C109" i="2"/>
  <c r="C111" i="2" s="1"/>
  <c r="D51" i="3" s="1"/>
  <c r="C11" i="3"/>
  <c r="C12" i="3" s="1"/>
  <c r="C65" i="2"/>
  <c r="H103" i="3"/>
  <c r="C31" i="3"/>
  <c r="C30" i="3" s="1"/>
  <c r="G75" i="3"/>
  <c r="B65" i="2"/>
  <c r="G103" i="3"/>
  <c r="E49" i="2"/>
  <c r="E14" i="3"/>
  <c r="E13" i="3" s="1"/>
  <c r="E12" i="3"/>
  <c r="D12" i="3"/>
  <c r="E16" i="2"/>
  <c r="E21" i="2" s="1"/>
  <c r="E24" i="2" s="1"/>
  <c r="D5" i="3"/>
  <c r="C6" i="3"/>
  <c r="E6" i="3"/>
  <c r="D6" i="3"/>
  <c r="C8" i="3"/>
  <c r="E5" i="3"/>
  <c r="C7" i="3"/>
  <c r="E7" i="3"/>
  <c r="D7" i="3"/>
  <c r="B49" i="2"/>
  <c r="C34" i="3" s="1"/>
  <c r="D16" i="2"/>
  <c r="C16" i="2"/>
  <c r="C17" i="3" l="1"/>
  <c r="G66" i="3"/>
  <c r="G121" i="3"/>
  <c r="D34" i="3"/>
  <c r="D26" i="3"/>
  <c r="H94" i="3"/>
  <c r="C74" i="2"/>
  <c r="H115" i="3" s="1"/>
  <c r="H112" i="3"/>
  <c r="B74" i="2"/>
  <c r="G115" i="3" s="1"/>
  <c r="G112" i="3"/>
  <c r="B16" i="2"/>
  <c r="C26" i="3"/>
  <c r="G94" i="3"/>
  <c r="C21" i="2"/>
  <c r="C24" i="2" s="1"/>
  <c r="D48" i="3"/>
  <c r="D21" i="2"/>
  <c r="D24" i="2" s="1"/>
  <c r="E48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E22" i="3" l="1"/>
  <c r="E47" i="3"/>
  <c r="E41" i="3"/>
  <c r="E37" i="3"/>
  <c r="E49" i="3"/>
  <c r="D22" i="3"/>
  <c r="D47" i="3"/>
  <c r="D37" i="3"/>
  <c r="D49" i="3"/>
  <c r="D41" i="3"/>
  <c r="B21" i="2"/>
  <c r="B24" i="2" s="1"/>
  <c r="E18" i="3"/>
  <c r="E50" i="3"/>
  <c r="D18" i="3"/>
  <c r="D50" i="3"/>
  <c r="D20" i="3"/>
  <c r="D29" i="3"/>
  <c r="D28" i="3"/>
  <c r="E20" i="3"/>
  <c r="E28" i="3"/>
  <c r="E29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18" i="3" l="1"/>
  <c r="C50" i="3"/>
  <c r="C20" i="3"/>
  <c r="C29" i="3"/>
  <c r="C48" i="3"/>
  <c r="C28" i="3"/>
  <c r="C49" i="3"/>
  <c r="C47" i="3"/>
  <c r="C37" i="3"/>
  <c r="C22" i="3"/>
  <c r="C41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<sst xmlns="http://schemas.openxmlformats.org/spreadsheetml/2006/main" count="255" uniqueCount="188">
  <si>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</si>
  <si>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</si>
  <si>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</si>
  <si>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</si>
  <si>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</si>
  <si>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</si>
  <si>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</si>
  <si>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</si>
  <si>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</si>
  <si>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</si>
  <si>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</si>
  <si>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</si>
  <si>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</si>
  <si>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</si>
  <si>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</si>
  <si>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</si>
  <si>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</si>
  <si>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</si>
  <si>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</si>
  <si>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</si>
  <si>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</si>
  <si>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</si>
  <si>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</si>
  <si>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</si>
  <si>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</si>
  <si>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</si>
  <si>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</si>
  <si>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</si>
  <si>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</si>
  <si>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</si>
  <si>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</si>
  <si>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</si>
  <si>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</si>
  <si>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</si>
  <si>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</si>
  <si>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</si>
  <si>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</si>
  <si>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</si>
  <si>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</si>
  <si>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</si>
  <si>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</si>
  <si>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</si>
  <si>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</si>
  <si>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</si>
  <si>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</si>
  <si>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</si>
  <si>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</si>
  <si>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</si>
  <si>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</si>
  <si>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</si>
  <si>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</si>
  <si>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</si>
  <si>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</si>
  <si>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</si>
  <si>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</si>
  <si>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</si>
  <si>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</si>
  <si>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</si>
  <si>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 Inc.</t>
  </si>
  <si>
    <t>Total net sales</t>
  </si>
  <si>
    <t>Total operating expenses</t>
  </si>
  <si>
    <t>Operating income</t>
  </si>
  <si>
    <t>Earnings per share:</t>
  </si>
  <si>
    <t>Basic</t>
  </si>
  <si>
    <t>Diluted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</si>
  <si>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</si>
  <si>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</si>
  <si>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</si>
  <si>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</si>
  <si>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</si>
  <si>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</si>
  <si>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</si>
  <si>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Non current assets:</t>
  </si>
  <si>
    <t>Total assets</t>
  </si>
  <si>
    <t>Current liabilities: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</si>
  <si>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</si>
  <si>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</si>
  <si>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</si>
  <si>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</si>
  <si>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</si>
  <si>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</si>
  <si>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</si>
  <si>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</si>
  <si>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</si>
  <si>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Years ended ,December 31</t>
  </si>
  <si>
    <t>Net product sales</t>
  </si>
  <si>
    <t>Net services sales</t>
  </si>
  <si>
    <t>Cost of sales</t>
  </si>
  <si>
    <t>Gross profit</t>
  </si>
  <si>
    <t>Fulfillment</t>
  </si>
  <si>
    <t>Technology and content</t>
  </si>
  <si>
    <t>Sales and marketing</t>
  </si>
  <si>
    <t>General and administrative</t>
  </si>
  <si>
    <t>Other operating income (expense), net</t>
  </si>
  <si>
    <t>Interest income</t>
  </si>
  <si>
    <t>Interest expense</t>
  </si>
  <si>
    <t>Income (loss) before income taxes</t>
  </si>
  <si>
    <t>(Provision) benefit for income taxes</t>
  </si>
  <si>
    <t>Equity-method investment activity, net of tax</t>
  </si>
  <si>
    <t>Net income (loss)</t>
  </si>
  <si>
    <t>Other income(expense), net</t>
  </si>
  <si>
    <t>Total non-operating income (expense)</t>
  </si>
  <si>
    <t>Wighted average shares used in computing earnings per share:</t>
  </si>
  <si>
    <t>Property and equipment, net</t>
  </si>
  <si>
    <t>Operating leases</t>
  </si>
  <si>
    <t>Goodwill</t>
  </si>
  <si>
    <t>Other assets</t>
  </si>
  <si>
    <t>Total non-current assets</t>
  </si>
  <si>
    <t>Current portion of lease liabilities, operating leases</t>
  </si>
  <si>
    <t>Current portion of lease liabilities, finance leases</t>
  </si>
  <si>
    <t>Current portion of long-term debt</t>
  </si>
  <si>
    <t xml:space="preserve">   Accounts payable</t>
  </si>
  <si>
    <t xml:space="preserve">   Unearned revenue</t>
  </si>
  <si>
    <t xml:space="preserve">      Other current liabilities</t>
  </si>
  <si>
    <t>Long-term lease liabilities, operating leases</t>
  </si>
  <si>
    <t>Long-term lease liabilities, finance leases</t>
  </si>
  <si>
    <t>Other long-term liabilities</t>
  </si>
  <si>
    <t>Long-term debt</t>
  </si>
  <si>
    <t>Treasury stock, at cost</t>
  </si>
  <si>
    <t>Additional paid-in capital</t>
  </si>
  <si>
    <t>Accumulated other comprehensive loss</t>
  </si>
  <si>
    <t>Common stock, $0.01 par value;100,000 shares authorized; 10,644 and 10,757 shares issued; 10,175 and 10,242 shares outstanding</t>
  </si>
  <si>
    <t>Preferred stock, $0.01 par value;500 shares authorized; no shares issued or outstanding</t>
  </si>
  <si>
    <t>Changes in operating assets and liabilities</t>
  </si>
  <si>
    <t>Adjustments to reconcile net income (loss) to net cash from operating activities</t>
  </si>
  <si>
    <t>Net cash provided by operating activities</t>
  </si>
  <si>
    <t>Net cash used in investing activities</t>
  </si>
  <si>
    <t>Net cash provided by (used in) financing activities</t>
  </si>
  <si>
    <t>Net increase (decrease) in cash, cash equivalents, and restricted cash</t>
  </si>
  <si>
    <t>Cash, cash equivalents, and restricted cash, end of period</t>
  </si>
  <si>
    <t xml:space="preserve">   Net income (loss)</t>
  </si>
  <si>
    <t xml:space="preserve">   Depreciation and amortization of property and equipment and capitalized content costs, operating lease assets, and other</t>
  </si>
  <si>
    <t xml:space="preserve">   Stock-based compensation</t>
  </si>
  <si>
    <t xml:space="preserve">   Other (income) expense, net</t>
  </si>
  <si>
    <t xml:space="preserve">   Deferred income taxes</t>
  </si>
  <si>
    <t xml:space="preserve">   Inventories</t>
  </si>
  <si>
    <t xml:space="preserve">   Accounts receivable, net and other</t>
  </si>
  <si>
    <t xml:space="preserve">   Accrued expenses and other</t>
  </si>
  <si>
    <t xml:space="preserve">  Purchases of property and equipment</t>
  </si>
  <si>
    <t xml:space="preserve">  Proceeds from property and equipment sales and incentives</t>
  </si>
  <si>
    <t xml:space="preserve">  Acquisitions, net of cash acquired, and other</t>
  </si>
  <si>
    <t xml:space="preserve">  Sales and maturities of marketable securities</t>
  </si>
  <si>
    <t xml:space="preserve">  Purchases of marketable securities</t>
  </si>
  <si>
    <t xml:space="preserve">  Common stock repurchased</t>
  </si>
  <si>
    <t xml:space="preserve">  Proceeds from short-term debt, and other</t>
  </si>
  <si>
    <t xml:space="preserve">  Repayments of short-term debt, and other</t>
  </si>
  <si>
    <t xml:space="preserve">  Proceeds from long-term debt</t>
  </si>
  <si>
    <t xml:space="preserve">  Repayments of long-term debt</t>
  </si>
  <si>
    <t xml:space="preserve">  Principal repayments of finance leases</t>
  </si>
  <si>
    <t xml:space="preserve">  Principal repayments of financing obligations</t>
  </si>
  <si>
    <t xml:space="preserve">  Foreign currency effect on cash, cash equivalents, and restricted cash</t>
  </si>
  <si>
    <t xml:space="preserve">  Cash, cash equivalents, and restricted cash, beginning of period</t>
  </si>
  <si>
    <t>Market Stock Price as at 31 December</t>
  </si>
  <si>
    <t>(in millions, except per share data)</t>
  </si>
  <si>
    <t>EBIITDA=Operating income+Interest income+Other income(net)+Equity method investment income(net of tax)+ Depreciation &amp; Amortisation</t>
  </si>
  <si>
    <t>Total Term Debt</t>
  </si>
  <si>
    <t>Total Capital</t>
  </si>
  <si>
    <t>No. of Common Stock Outstanding end balances</t>
  </si>
  <si>
    <t>In addition to the above, you are required to calculate the growth rates for the following:</t>
  </si>
  <si>
    <t>Products</t>
  </si>
  <si>
    <t>Services</t>
  </si>
  <si>
    <t>Total cost of sales</t>
  </si>
  <si>
    <t>Each operating expenses</t>
  </si>
  <si>
    <t>Main line items of the balance sheet</t>
  </si>
  <si>
    <t>Total non current assets</t>
  </si>
  <si>
    <t>You are required to calculate margins/ as a % of net sales for the following:</t>
  </si>
  <si>
    <t>COGS (Cost of goods sold)</t>
  </si>
  <si>
    <t>Gross profits</t>
  </si>
  <si>
    <t>You are required to calculate the following additional items</t>
  </si>
  <si>
    <t>Capex as a percentage of sales</t>
  </si>
  <si>
    <t>Capex as a percentage of fixed assets</t>
  </si>
  <si>
    <t>N:B</t>
  </si>
  <si>
    <t>Capex</t>
  </si>
  <si>
    <t>Fixed Assets(PPE)</t>
  </si>
  <si>
    <t>NOPAT=EBIAT</t>
  </si>
  <si>
    <t>NOPAT=EBIT*(1-Tax Rate%)</t>
  </si>
  <si>
    <t>Tax Rate(%)=1-(EBIAT/EBIT)</t>
  </si>
  <si>
    <t>N/A</t>
  </si>
  <si>
    <t xml:space="preserve">Each net sales </t>
  </si>
  <si>
    <t>Years ended, December 31</t>
  </si>
  <si>
    <t xml:space="preserve">No dividend declared or paid </t>
  </si>
  <si>
    <t>EBIAT(NOPAT)</t>
  </si>
  <si>
    <t>Market stock price as at 31st December</t>
  </si>
  <si>
    <t>Effective Income tax rate</t>
  </si>
  <si>
    <t>EITR=Tax expense(Benefit)/Net income before tax</t>
  </si>
  <si>
    <t>EBITDA = Operating income + Depreciation &amp; Amortisation, do not include other income or interest income, they are not operational</t>
  </si>
  <si>
    <t>EBIT = Operating income, earnings before interest and tax</t>
  </si>
  <si>
    <t>If you are adding lease to the denominator, add it to the numerator as well, because it is a form of debt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</si>
</sst>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_);\(#,##0\);&quot;—&quot;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52525"/>
      <name val="Calibri"/>
    </font>
    <font>
      <b/>
      <sz val="11"/>
      <color rgb="FF252525"/>
      <name val="Calibri"/>
    </font>
    <font>
      <b/>
      <sz val="11"/>
      <color rgb="FF252525"/>
      <name val="Calibri"/>
      <family val="2"/>
    </font>
    <font>
      <sz val="11"/>
      <color rgb="FF25252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E2E2E2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0" xfId="4" applyAlignment="1">
      <alignment wrapText="1"/>
    </xf>
    <xf numFmtId="166" fontId="8" fillId="0" borderId="0" xfId="4" applyNumberFormat="1" applyAlignment="1">
      <alignment horizontal="right"/>
    </xf>
    <xf numFmtId="0" fontId="0" fillId="0" borderId="0" xfId="0" applyAlignment="1">
      <alignment horizontal="right"/>
    </xf>
    <xf numFmtId="3" fontId="8" fillId="0" borderId="0" xfId="4" applyNumberFormat="1" applyAlignment="1">
      <alignment horizontal="right"/>
    </xf>
    <xf numFmtId="37" fontId="8" fillId="0" borderId="0" xfId="4" applyNumberFormat="1" applyAlignment="1">
      <alignment horizontal="right"/>
    </xf>
    <xf numFmtId="0" fontId="10" fillId="0" borderId="0" xfId="4" applyFont="1" applyAlignment="1">
      <alignment wrapText="1"/>
    </xf>
    <xf numFmtId="37" fontId="8" fillId="0" borderId="0" xfId="4" applyNumberFormat="1"/>
    <xf numFmtId="0" fontId="10" fillId="0" borderId="3" xfId="4" applyFont="1" applyBorder="1" applyAlignment="1">
      <alignment wrapText="1"/>
    </xf>
    <xf numFmtId="3" fontId="9" fillId="0" borderId="3" xfId="4" applyNumberFormat="1" applyFont="1" applyBorder="1" applyAlignment="1">
      <alignment horizontal="right"/>
    </xf>
    <xf numFmtId="3" fontId="10" fillId="0" borderId="3" xfId="4" applyNumberFormat="1" applyFont="1" applyBorder="1" applyAlignment="1">
      <alignment horizontal="right"/>
    </xf>
    <xf numFmtId="0" fontId="9" fillId="0" borderId="3" xfId="4" applyFont="1" applyBorder="1" applyAlignment="1">
      <alignment wrapText="1"/>
    </xf>
    <xf numFmtId="3" fontId="9" fillId="0" borderId="5" xfId="4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9" fillId="0" borderId="5" xfId="4" applyNumberFormat="1" applyFont="1" applyBorder="1" applyAlignment="1">
      <alignment horizontal="right"/>
    </xf>
    <xf numFmtId="0" fontId="10" fillId="0" borderId="5" xfId="4" applyFont="1" applyBorder="1" applyAlignment="1">
      <alignment wrapText="1"/>
    </xf>
    <xf numFmtId="0" fontId="9" fillId="0" borderId="5" xfId="4" applyFont="1" applyBorder="1" applyAlignment="1">
      <alignment wrapText="1"/>
    </xf>
    <xf numFmtId="39" fontId="0" fillId="4" borderId="0" xfId="0" applyNumberFormat="1" applyFill="1"/>
    <xf numFmtId="0" fontId="9" fillId="0" borderId="2" xfId="4" applyFont="1" applyBorder="1" applyAlignment="1">
      <alignment wrapText="1"/>
    </xf>
    <xf numFmtId="37" fontId="9" fillId="0" borderId="2" xfId="4" applyNumberFormat="1" applyFont="1" applyBorder="1" applyAlignment="1">
      <alignment horizontal="right"/>
    </xf>
    <xf numFmtId="0" fontId="2" fillId="0" borderId="7" xfId="0" applyFont="1" applyBorder="1"/>
    <xf numFmtId="164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0" xfId="0" applyNumberFormat="1"/>
    <xf numFmtId="164" fontId="0" fillId="0" borderId="0" xfId="1" applyNumberFormat="1" applyFont="1" applyBorder="1"/>
    <xf numFmtId="164" fontId="1" fillId="0" borderId="0" xfId="1" applyNumberFormat="1" applyFont="1" applyBorder="1"/>
    <xf numFmtId="164" fontId="2" fillId="0" borderId="3" xfId="1" applyNumberFormat="1" applyFont="1" applyBorder="1"/>
    <xf numFmtId="0" fontId="2" fillId="0" borderId="3" xfId="0" applyFont="1" applyBorder="1"/>
    <xf numFmtId="0" fontId="0" fillId="0" borderId="0" xfId="0" applyAlignment="1">
      <alignment horizontal="left" wrapText="1" indent="2"/>
    </xf>
    <xf numFmtId="0" fontId="11" fillId="0" borderId="0" xfId="0" applyFont="1" applyAlignment="1">
      <alignment wrapText="1"/>
    </xf>
    <xf numFmtId="166" fontId="10" fillId="0" borderId="4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166" fontId="10" fillId="0" borderId="2" xfId="0" applyNumberFormat="1" applyFont="1" applyBorder="1" applyAlignment="1">
      <alignment horizontal="right"/>
    </xf>
    <xf numFmtId="3" fontId="2" fillId="0" borderId="0" xfId="0" applyNumberFormat="1" applyFont="1"/>
    <xf numFmtId="4" fontId="0" fillId="0" borderId="0" xfId="0" applyNumberFormat="1"/>
    <xf numFmtId="0" fontId="0" fillId="3" borderId="0" xfId="0" applyFill="1"/>
    <xf numFmtId="0" fontId="2" fillId="0" borderId="6" xfId="0" applyFont="1" applyBorder="1"/>
    <xf numFmtId="1" fontId="2" fillId="0" borderId="6" xfId="0" applyNumberFormat="1" applyFont="1" applyBorder="1"/>
    <xf numFmtId="3" fontId="0" fillId="3" borderId="0" xfId="0" applyNumberFormat="1" applyFill="1"/>
    <xf numFmtId="4" fontId="2" fillId="0" borderId="0" xfId="0" applyNumberFormat="1" applyFont="1"/>
    <xf numFmtId="10" fontId="0" fillId="0" borderId="0" xfId="3" applyNumberFormat="1" applyFont="1"/>
    <xf numFmtId="37" fontId="9" fillId="0" borderId="0" xfId="4" applyNumberFormat="1" applyFont="1" applyAlignment="1">
      <alignment horizontal="right"/>
    </xf>
    <xf numFmtId="37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5" borderId="0" xfId="0" applyFill="1"/>
    <xf numFmtId="0" fontId="2" fillId="5" borderId="0" xfId="0" applyFont="1" applyFill="1" applyAlignment="1">
      <alignment horizontal="left"/>
    </xf>
    <xf numFmtId="10" fontId="2" fillId="0" borderId="0" xfId="3" applyNumberFormat="1" applyFont="1"/>
    <xf numFmtId="10" fontId="1" fillId="0" borderId="0" xfId="3" applyNumberFormat="1" applyFont="1"/>
    <xf numFmtId="0" fontId="2" fillId="6" borderId="0" xfId="0" applyFont="1" applyFill="1" applyAlignment="1">
      <alignment horizontal="left" indent="1"/>
    </xf>
    <xf numFmtId="0" fontId="2" fillId="7" borderId="6" xfId="0" applyFont="1" applyFill="1" applyBorder="1" applyAlignment="1">
      <alignment horizontal="left" indent="1"/>
    </xf>
    <xf numFmtId="0" fontId="0" fillId="7" borderId="0" xfId="0" applyFill="1"/>
    <xf numFmtId="0" fontId="2" fillId="5" borderId="6" xfId="0" applyFont="1" applyFill="1" applyBorder="1" applyAlignment="1">
      <alignment horizontal="center"/>
    </xf>
    <xf numFmtId="10" fontId="1" fillId="0" borderId="0" xfId="3" applyNumberFormat="1" applyFont="1" applyAlignment="1">
      <alignment horizontal="right"/>
    </xf>
    <xf numFmtId="0" fontId="8" fillId="0" borderId="0" xfId="4" applyAlignment="1">
      <alignment horizontal="left" wrapText="1"/>
    </xf>
    <xf numFmtId="0" fontId="11" fillId="0" borderId="0" xfId="4" applyFont="1" applyAlignment="1">
      <alignment horizontal="left" wrapText="1"/>
    </xf>
    <xf numFmtId="0" fontId="0" fillId="0" borderId="3" xfId="0" applyBorder="1"/>
    <xf numFmtId="10" fontId="2" fillId="0" borderId="3" xfId="3" applyNumberFormat="1" applyFont="1" applyBorder="1"/>
    <xf numFmtId="0" fontId="0" fillId="0" borderId="2" xfId="0" applyBorder="1"/>
    <xf numFmtId="10" fontId="2" fillId="0" borderId="2" xfId="3" applyNumberFormat="1" applyFont="1" applyBorder="1"/>
    <xf numFmtId="0" fontId="2" fillId="7" borderId="0" xfId="0" applyFont="1" applyFill="1" applyAlignment="1">
      <alignment horizontal="left" indent="1"/>
    </xf>
    <xf numFmtId="0" fontId="2" fillId="7" borderId="0" xfId="0" applyFont="1" applyFill="1"/>
    <xf numFmtId="166" fontId="2" fillId="7" borderId="0" xfId="0" applyNumberFormat="1" applyFont="1" applyFill="1" applyAlignment="1">
      <alignment horizontal="right"/>
    </xf>
    <xf numFmtId="164" fontId="2" fillId="7" borderId="0" xfId="1" applyNumberFormat="1" applyFont="1" applyFill="1"/>
    <xf numFmtId="37" fontId="0" fillId="7" borderId="0" xfId="0" applyNumberFormat="1" applyFill="1"/>
    <xf numFmtId="3" fontId="0" fillId="7" borderId="0" xfId="0" applyNumberFormat="1" applyFill="1"/>
    <xf numFmtId="37" fontId="2" fillId="0" borderId="0" xfId="0" applyNumberFormat="1" applyFont="1"/>
    <xf numFmtId="167" fontId="0" fillId="0" borderId="0" xfId="3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0" fillId="6" borderId="0" xfId="0" applyNumberFormat="1" applyFill="1"/>
    <xf numFmtId="3" fontId="0" fillId="6" borderId="0" xfId="0" applyNumberFormat="1" applyFill="1"/>
  </cellXfs>
  <cellStyles count="5">
    <cellStyle name="Comma" xfId="1" builtinId="3"/>
    <cellStyle name="Hyperlink" xfId="2" builtinId="8"/>
    <cellStyle name="Normal" xfId="0" builtinId="0"/>
    <cellStyle name="Normal 2" xfId="4" xr:uid="{97A17455-EBC3-40AD-9D26-A106363050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365760</xdr:colOff>
      <xdr:row>36</xdr:row>
      <xdr:rowOff>60960</xdr:rowOff>
    </xdr:from>
    <xdr:to>
      <xdr:col>27</xdr:col>
      <xdr:colOff>290082</xdr:colOff>
      <xdr:row>71</xdr:row>
      <xdr:rowOff>46276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7E7328-BFA5-45C0-98AD-88CF9B34F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8060" y="7437120"/>
          <a:ext cx="6020322" cy="641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0" sqref="A20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57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55</v>
      </c>
    </row>
    <row r="8" spans="1:1" x14ac:dyDescent="0.3">
      <c r="A8" s="2" t="s">
        <v>56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opLeftCell="A70" workbookViewId="0">
      <selection activeCell="D16" sqref="D16"/>
    </sheetView>
  </sheetViews>
  <sheetFormatPr defaultRowHeight="14.4" x14ac:dyDescent="0.3"/>
  <cols>
    <col min="1" max="1" width="118" customWidth="1"/>
    <col min="2" max="2" width="13.77734375" bestFit="1" customWidth="1"/>
    <col min="3" max="3" width="11.5546875" bestFit="1" customWidth="1"/>
    <col min="4" max="4" width="11.6640625" bestFit="1" customWidth="1"/>
    <col min="5" max="5" width="11" customWidth="1"/>
  </cols>
  <sheetData>
    <row r="1" spans="1:10" ht="60" customHeight="1" x14ac:dyDescent="0.3">
      <c r="A1" s="7" t="s">
        <v>58</v>
      </c>
      <c r="B1" s="8" t="s">
        <v>153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93" t="s">
        <v>9</v>
      </c>
      <c r="B2" s="93"/>
      <c r="C2" s="93"/>
      <c r="D2" s="93"/>
      <c r="E2" s="58"/>
    </row>
    <row r="3" spans="1:10" x14ac:dyDescent="0.3">
      <c r="B3" s="92" t="s">
        <v>84</v>
      </c>
      <c r="C3" s="92"/>
      <c r="D3" s="92"/>
    </row>
    <row r="4" spans="1:10" ht="15" thickBot="1" x14ac:dyDescent="0.35">
      <c r="B4" s="42">
        <v>2022</v>
      </c>
      <c r="C4" s="42">
        <v>2021</v>
      </c>
      <c r="D4" s="42">
        <v>2020</v>
      </c>
      <c r="E4" s="59">
        <v>2019</v>
      </c>
    </row>
    <row r="5" spans="1:10" ht="14.4" customHeight="1" x14ac:dyDescent="0.3">
      <c r="A5" s="23" t="s">
        <v>85</v>
      </c>
      <c r="B5" s="26">
        <v>242901</v>
      </c>
      <c r="C5" s="26">
        <v>241787</v>
      </c>
      <c r="D5" s="26">
        <v>215915</v>
      </c>
      <c r="E5" s="15">
        <v>160408</v>
      </c>
    </row>
    <row r="6" spans="1:10" ht="14.4" customHeight="1" x14ac:dyDescent="0.3">
      <c r="A6" s="23" t="s">
        <v>86</v>
      </c>
      <c r="B6" s="26">
        <v>271082</v>
      </c>
      <c r="C6" s="26">
        <v>228035</v>
      </c>
      <c r="D6" s="26">
        <v>170149</v>
      </c>
      <c r="E6" s="15">
        <v>120114</v>
      </c>
    </row>
    <row r="7" spans="1:10" ht="14.4" customHeight="1" x14ac:dyDescent="0.3">
      <c r="A7" s="30" t="s">
        <v>59</v>
      </c>
      <c r="B7" s="31">
        <f>B5+B6</f>
        <v>513983</v>
      </c>
      <c r="C7" s="31">
        <f t="shared" ref="C7:E7" si="0">C5+C6</f>
        <v>469822</v>
      </c>
      <c r="D7" s="31">
        <f t="shared" si="0"/>
        <v>386064</v>
      </c>
      <c r="E7" s="31">
        <f t="shared" si="0"/>
        <v>280522</v>
      </c>
    </row>
    <row r="8" spans="1:10" ht="14.4" customHeight="1" x14ac:dyDescent="0.3">
      <c r="A8" s="30" t="s">
        <v>87</v>
      </c>
      <c r="B8" s="32">
        <v>288831</v>
      </c>
      <c r="C8" s="32">
        <v>272344</v>
      </c>
      <c r="D8" s="32">
        <v>233307</v>
      </c>
      <c r="E8" s="15">
        <v>165536</v>
      </c>
    </row>
    <row r="9" spans="1:10" ht="14.4" customHeight="1" thickBot="1" x14ac:dyDescent="0.35">
      <c r="A9" s="33" t="s">
        <v>88</v>
      </c>
      <c r="B9" s="34">
        <f>B7-B8</f>
        <v>225152</v>
      </c>
      <c r="C9" s="34">
        <f t="shared" ref="C9:E9" si="1">C7-C8</f>
        <v>197478</v>
      </c>
      <c r="D9" s="34">
        <f t="shared" si="1"/>
        <v>152757</v>
      </c>
      <c r="E9" s="34">
        <f t="shared" si="1"/>
        <v>114986</v>
      </c>
    </row>
    <row r="10" spans="1:10" ht="14.4" customHeight="1" x14ac:dyDescent="0.3">
      <c r="A10" s="23" t="s">
        <v>89</v>
      </c>
      <c r="B10" s="26">
        <v>84299</v>
      </c>
      <c r="C10" s="26">
        <v>75111</v>
      </c>
      <c r="D10" s="26">
        <v>58517</v>
      </c>
      <c r="E10" s="15">
        <v>40232</v>
      </c>
    </row>
    <row r="11" spans="1:10" ht="14.4" customHeight="1" x14ac:dyDescent="0.3">
      <c r="A11" s="35" t="s">
        <v>90</v>
      </c>
      <c r="B11" s="26">
        <v>73213</v>
      </c>
      <c r="C11" s="26">
        <v>56052</v>
      </c>
      <c r="D11" s="26">
        <v>42740</v>
      </c>
      <c r="E11" s="15">
        <v>35931</v>
      </c>
    </row>
    <row r="12" spans="1:10" ht="14.4" customHeight="1" x14ac:dyDescent="0.3">
      <c r="A12" s="23" t="s">
        <v>91</v>
      </c>
      <c r="B12" s="26">
        <v>42238</v>
      </c>
      <c r="C12" s="26">
        <v>32551</v>
      </c>
      <c r="D12" s="26">
        <v>22008</v>
      </c>
      <c r="E12" s="15">
        <v>18878</v>
      </c>
    </row>
    <row r="13" spans="1:10" ht="14.4" customHeight="1" x14ac:dyDescent="0.3">
      <c r="A13" s="23" t="s">
        <v>92</v>
      </c>
      <c r="B13" s="26">
        <v>11891</v>
      </c>
      <c r="C13" s="26">
        <v>8823</v>
      </c>
      <c r="D13" s="26">
        <v>6668</v>
      </c>
      <c r="E13" s="15">
        <v>5203</v>
      </c>
    </row>
    <row r="14" spans="1:10" ht="14.4" customHeight="1" x14ac:dyDescent="0.3">
      <c r="A14" s="23" t="s">
        <v>93</v>
      </c>
      <c r="B14" s="29">
        <v>1263</v>
      </c>
      <c r="C14" s="29">
        <v>62</v>
      </c>
      <c r="D14" s="29">
        <v>-75</v>
      </c>
      <c r="E14" s="24">
        <v>201</v>
      </c>
    </row>
    <row r="15" spans="1:10" ht="14.4" customHeight="1" x14ac:dyDescent="0.3">
      <c r="A15" s="30" t="s">
        <v>60</v>
      </c>
      <c r="B15" s="31">
        <f>SUM(B10:B14)</f>
        <v>212904</v>
      </c>
      <c r="C15" s="31">
        <f t="shared" ref="C15:E15" si="2">SUM(C10:C14)</f>
        <v>172599</v>
      </c>
      <c r="D15" s="31">
        <f t="shared" si="2"/>
        <v>129858</v>
      </c>
      <c r="E15" s="31">
        <f t="shared" si="2"/>
        <v>100445</v>
      </c>
      <c r="F15" s="15"/>
      <c r="G15" s="15"/>
      <c r="H15" s="15"/>
    </row>
    <row r="16" spans="1:10" ht="14.4" customHeight="1" thickBot="1" x14ac:dyDescent="0.35">
      <c r="A16" s="37" t="s">
        <v>61</v>
      </c>
      <c r="B16" s="34">
        <f>B9-B15</f>
        <v>12248</v>
      </c>
      <c r="C16" s="34">
        <f t="shared" ref="C16:E16" si="3">C9-C15</f>
        <v>24879</v>
      </c>
      <c r="D16" s="34">
        <f t="shared" si="3"/>
        <v>22899</v>
      </c>
      <c r="E16" s="34">
        <f t="shared" si="3"/>
        <v>14541</v>
      </c>
      <c r="F16" s="90"/>
      <c r="G16" s="90"/>
      <c r="H16" s="15"/>
    </row>
    <row r="17" spans="1:6" ht="14.4" customHeight="1" x14ac:dyDescent="0.3">
      <c r="A17" s="23" t="s">
        <v>94</v>
      </c>
      <c r="B17" s="27">
        <v>989</v>
      </c>
      <c r="C17" s="27">
        <v>448</v>
      </c>
      <c r="D17" s="27">
        <v>555</v>
      </c>
      <c r="E17" s="24">
        <v>832</v>
      </c>
    </row>
    <row r="18" spans="1:6" ht="14.4" customHeight="1" x14ac:dyDescent="0.3">
      <c r="A18" s="23" t="s">
        <v>95</v>
      </c>
      <c r="B18" s="27">
        <v>-2367</v>
      </c>
      <c r="C18" s="27">
        <v>-1809</v>
      </c>
      <c r="D18" s="27">
        <v>-1647</v>
      </c>
      <c r="E18" s="24">
        <v>-1600</v>
      </c>
    </row>
    <row r="19" spans="1:6" ht="14.4" customHeight="1" x14ac:dyDescent="0.3">
      <c r="A19" s="35" t="s">
        <v>100</v>
      </c>
      <c r="B19" s="27">
        <v>-16806</v>
      </c>
      <c r="C19" s="27">
        <v>14633</v>
      </c>
      <c r="D19" s="27">
        <v>2371</v>
      </c>
      <c r="E19" s="15">
        <v>203</v>
      </c>
    </row>
    <row r="20" spans="1:6" ht="14.4" customHeight="1" x14ac:dyDescent="0.3">
      <c r="A20" s="28" t="s">
        <v>101</v>
      </c>
      <c r="B20" s="64">
        <f>B17+B18+B19</f>
        <v>-18184</v>
      </c>
      <c r="C20" s="64">
        <f t="shared" ref="C20:E20" si="4">C17+C18+C19</f>
        <v>13272</v>
      </c>
      <c r="D20" s="64">
        <f t="shared" si="4"/>
        <v>1279</v>
      </c>
      <c r="E20" s="64">
        <f t="shared" si="4"/>
        <v>-565</v>
      </c>
    </row>
    <row r="21" spans="1:6" ht="14.4" customHeight="1" thickBot="1" x14ac:dyDescent="0.35">
      <c r="A21" s="38" t="s">
        <v>96</v>
      </c>
      <c r="B21" s="36">
        <f>B16+B20</f>
        <v>-5936</v>
      </c>
      <c r="C21" s="36">
        <f t="shared" ref="C21:E21" si="5">C16+C20</f>
        <v>38151</v>
      </c>
      <c r="D21" s="36">
        <f t="shared" si="5"/>
        <v>24178</v>
      </c>
      <c r="E21" s="36">
        <f t="shared" si="5"/>
        <v>13976</v>
      </c>
    </row>
    <row r="22" spans="1:6" x14ac:dyDescent="0.3">
      <c r="A22" s="23" t="s">
        <v>97</v>
      </c>
      <c r="B22" s="27">
        <v>3217</v>
      </c>
      <c r="C22" s="27">
        <v>-4791</v>
      </c>
      <c r="D22" s="27">
        <v>-2863</v>
      </c>
      <c r="E22" s="24">
        <v>-2374</v>
      </c>
    </row>
    <row r="23" spans="1:6" x14ac:dyDescent="0.3">
      <c r="A23" s="35" t="s">
        <v>98</v>
      </c>
      <c r="B23" s="27">
        <v>-3</v>
      </c>
      <c r="C23" s="27">
        <v>4</v>
      </c>
      <c r="D23" s="27">
        <v>16</v>
      </c>
      <c r="E23" s="24">
        <v>-14</v>
      </c>
    </row>
    <row r="24" spans="1:6" ht="15" thickBot="1" x14ac:dyDescent="0.35">
      <c r="A24" s="40" t="s">
        <v>99</v>
      </c>
      <c r="B24" s="41">
        <f>B21+B22+B23</f>
        <v>-2722</v>
      </c>
      <c r="C24" s="41">
        <f t="shared" ref="C24:E24" si="6">C21+C22+C23</f>
        <v>33364</v>
      </c>
      <c r="D24" s="41">
        <f t="shared" si="6"/>
        <v>21331</v>
      </c>
      <c r="E24" s="41">
        <f t="shared" si="6"/>
        <v>11588</v>
      </c>
      <c r="F24" s="65"/>
    </row>
    <row r="25" spans="1:6" ht="15" thickTop="1" x14ac:dyDescent="0.3">
      <c r="A25" t="s">
        <v>62</v>
      </c>
      <c r="B25" s="25"/>
      <c r="C25" s="25"/>
      <c r="D25" s="25"/>
      <c r="E25" s="15"/>
    </row>
    <row r="26" spans="1:6" x14ac:dyDescent="0.3">
      <c r="A26" s="1" t="s">
        <v>63</v>
      </c>
      <c r="B26" s="39">
        <v>-0.27</v>
      </c>
      <c r="C26" s="39">
        <v>3.3</v>
      </c>
      <c r="D26" s="39">
        <v>2.13</v>
      </c>
      <c r="E26" s="57">
        <v>1.17</v>
      </c>
    </row>
    <row r="27" spans="1:6" x14ac:dyDescent="0.3">
      <c r="A27" s="1" t="s">
        <v>64</v>
      </c>
      <c r="B27" s="39">
        <v>-0.27</v>
      </c>
      <c r="C27" s="39">
        <v>3.24</v>
      </c>
      <c r="D27" s="39">
        <v>2.09</v>
      </c>
      <c r="E27" s="57">
        <v>1.1499999999999999</v>
      </c>
    </row>
    <row r="28" spans="1:6" x14ac:dyDescent="0.3">
      <c r="A28" t="s">
        <v>102</v>
      </c>
      <c r="E28" s="15"/>
    </row>
    <row r="29" spans="1:6" x14ac:dyDescent="0.3">
      <c r="A29" s="1" t="s">
        <v>63</v>
      </c>
      <c r="B29" s="15">
        <v>10189</v>
      </c>
      <c r="C29" s="15">
        <v>10117</v>
      </c>
      <c r="D29" s="15">
        <v>10005</v>
      </c>
      <c r="E29" s="15">
        <v>9880</v>
      </c>
    </row>
    <row r="30" spans="1:6" x14ac:dyDescent="0.3">
      <c r="A30" s="1" t="s">
        <v>64</v>
      </c>
      <c r="B30" s="15">
        <v>10189</v>
      </c>
      <c r="C30" s="15">
        <v>10296</v>
      </c>
      <c r="D30" s="15">
        <v>10198</v>
      </c>
      <c r="E30" s="15">
        <v>10080</v>
      </c>
    </row>
    <row r="31" spans="1:6" x14ac:dyDescent="0.3">
      <c r="E31" s="15"/>
    </row>
    <row r="32" spans="1:6" x14ac:dyDescent="0.3">
      <c r="E32" s="15"/>
    </row>
    <row r="33" spans="1:5" x14ac:dyDescent="0.3">
      <c r="A33" s="93" t="s">
        <v>11</v>
      </c>
      <c r="B33" s="93"/>
      <c r="C33" s="93"/>
      <c r="D33" s="93"/>
      <c r="E33" s="61"/>
    </row>
    <row r="34" spans="1:5" x14ac:dyDescent="0.3">
      <c r="B34" s="92" t="s">
        <v>84</v>
      </c>
      <c r="C34" s="92"/>
      <c r="D34" s="92"/>
      <c r="E34" s="15"/>
    </row>
    <row r="35" spans="1:5" ht="15" thickBot="1" x14ac:dyDescent="0.35">
      <c r="B35" s="42">
        <v>2022</v>
      </c>
      <c r="C35" s="42">
        <v>2021</v>
      </c>
      <c r="D35" s="42">
        <v>2020</v>
      </c>
      <c r="E35" s="60">
        <v>2019</v>
      </c>
    </row>
    <row r="36" spans="1:5" x14ac:dyDescent="0.3">
      <c r="A36" s="9" t="s">
        <v>65</v>
      </c>
      <c r="E36" s="15"/>
    </row>
    <row r="37" spans="1:5" x14ac:dyDescent="0.3">
      <c r="A37" s="1" t="s">
        <v>66</v>
      </c>
      <c r="B37" s="43">
        <v>53888</v>
      </c>
      <c r="C37" s="43">
        <v>36220</v>
      </c>
      <c r="D37" s="43">
        <v>42122</v>
      </c>
      <c r="E37" s="15">
        <v>36092</v>
      </c>
    </row>
    <row r="38" spans="1:5" x14ac:dyDescent="0.3">
      <c r="A38" s="1" t="s">
        <v>67</v>
      </c>
      <c r="B38" s="43">
        <v>16138</v>
      </c>
      <c r="C38" s="43">
        <v>59829</v>
      </c>
      <c r="D38" s="43">
        <v>42274</v>
      </c>
      <c r="E38" s="15">
        <v>18929</v>
      </c>
    </row>
    <row r="39" spans="1:5" x14ac:dyDescent="0.3">
      <c r="A39" s="1" t="s">
        <v>69</v>
      </c>
      <c r="B39" s="43">
        <v>34405</v>
      </c>
      <c r="C39" s="43">
        <v>32640</v>
      </c>
      <c r="D39" s="43">
        <v>23795</v>
      </c>
      <c r="E39" s="15">
        <v>20497</v>
      </c>
    </row>
    <row r="40" spans="1:5" x14ac:dyDescent="0.3">
      <c r="A40" s="1" t="s">
        <v>68</v>
      </c>
      <c r="B40" s="10">
        <v>34800</v>
      </c>
      <c r="C40" s="10">
        <v>26500</v>
      </c>
      <c r="D40" s="10">
        <v>19981</v>
      </c>
      <c r="E40" s="15">
        <v>17663</v>
      </c>
    </row>
    <row r="41" spans="1:5" x14ac:dyDescent="0.3">
      <c r="A41" s="1" t="s">
        <v>70</v>
      </c>
      <c r="B41" s="45">
        <v>7560</v>
      </c>
      <c r="C41" s="45">
        <v>6391</v>
      </c>
      <c r="D41" s="45">
        <v>4561</v>
      </c>
      <c r="E41" s="15">
        <v>3153</v>
      </c>
    </row>
    <row r="42" spans="1:5" x14ac:dyDescent="0.3">
      <c r="A42" s="49" t="s">
        <v>71</v>
      </c>
      <c r="B42" s="48">
        <f>SUM(B37:B41)</f>
        <v>146791</v>
      </c>
      <c r="C42" s="48">
        <f t="shared" ref="C42:E42" si="7">SUM(C37:C41)</f>
        <v>161580</v>
      </c>
      <c r="D42" s="48">
        <f t="shared" si="7"/>
        <v>132733</v>
      </c>
      <c r="E42" s="48">
        <f t="shared" si="7"/>
        <v>96334</v>
      </c>
    </row>
    <row r="43" spans="1:5" x14ac:dyDescent="0.3">
      <c r="A43" s="9" t="s">
        <v>72</v>
      </c>
      <c r="B43" s="10"/>
      <c r="C43" s="10"/>
      <c r="D43" s="10"/>
      <c r="E43" s="15"/>
    </row>
    <row r="44" spans="1:5" x14ac:dyDescent="0.3">
      <c r="A44" s="5" t="s">
        <v>103</v>
      </c>
      <c r="B44" s="10">
        <v>186715</v>
      </c>
      <c r="C44" s="10">
        <v>160281</v>
      </c>
      <c r="D44" s="10">
        <v>113114</v>
      </c>
      <c r="E44" s="15">
        <v>72705</v>
      </c>
    </row>
    <row r="45" spans="1:5" x14ac:dyDescent="0.3">
      <c r="A45" s="5" t="s">
        <v>104</v>
      </c>
      <c r="B45" s="46">
        <v>66123</v>
      </c>
      <c r="C45" s="46">
        <v>56082</v>
      </c>
      <c r="D45" s="46">
        <v>37553</v>
      </c>
      <c r="E45" s="15">
        <v>25141</v>
      </c>
    </row>
    <row r="46" spans="1:5" x14ac:dyDescent="0.3">
      <c r="A46" s="5" t="s">
        <v>105</v>
      </c>
      <c r="B46" s="47">
        <v>20288</v>
      </c>
      <c r="C46" s="47">
        <v>15371</v>
      </c>
      <c r="D46" s="47">
        <v>15017</v>
      </c>
      <c r="E46" s="15">
        <v>14754</v>
      </c>
    </row>
    <row r="47" spans="1:5" x14ac:dyDescent="0.3">
      <c r="A47" s="5" t="s">
        <v>106</v>
      </c>
      <c r="B47" s="47">
        <v>42758</v>
      </c>
      <c r="C47" s="47">
        <v>27235</v>
      </c>
      <c r="D47" s="47">
        <v>22778</v>
      </c>
      <c r="E47" s="15">
        <v>16314</v>
      </c>
    </row>
    <row r="48" spans="1:5" x14ac:dyDescent="0.3">
      <c r="A48" s="11" t="s">
        <v>107</v>
      </c>
      <c r="B48" s="48">
        <f>SUM(B44:B47)</f>
        <v>315884</v>
      </c>
      <c r="C48" s="48">
        <f t="shared" ref="C48:E48" si="8">SUM(C44:C47)</f>
        <v>258969</v>
      </c>
      <c r="D48" s="48">
        <f t="shared" si="8"/>
        <v>188462</v>
      </c>
      <c r="E48" s="48">
        <f t="shared" si="8"/>
        <v>128914</v>
      </c>
    </row>
    <row r="49" spans="1:5" ht="15" thickBot="1" x14ac:dyDescent="0.35">
      <c r="A49" s="13" t="s">
        <v>73</v>
      </c>
      <c r="B49" s="14">
        <f>B42+B48</f>
        <v>462675</v>
      </c>
      <c r="C49" s="14">
        <f t="shared" ref="C49:E49" si="9">C42+C48</f>
        <v>420549</v>
      </c>
      <c r="D49" s="14">
        <f t="shared" si="9"/>
        <v>321195</v>
      </c>
      <c r="E49" s="14">
        <f t="shared" si="9"/>
        <v>225248</v>
      </c>
    </row>
    <row r="50" spans="1:5" ht="15" thickTop="1" x14ac:dyDescent="0.3">
      <c r="E50" s="15"/>
    </row>
    <row r="51" spans="1:5" x14ac:dyDescent="0.3">
      <c r="A51" s="9" t="s">
        <v>74</v>
      </c>
      <c r="E51" s="15"/>
    </row>
    <row r="52" spans="1:5" x14ac:dyDescent="0.3">
      <c r="A52" s="5" t="s">
        <v>111</v>
      </c>
      <c r="B52" s="10">
        <v>79600</v>
      </c>
      <c r="C52" s="10">
        <v>78664</v>
      </c>
      <c r="D52" s="10">
        <v>72539</v>
      </c>
      <c r="E52" s="15">
        <v>47183</v>
      </c>
    </row>
    <row r="53" spans="1:5" x14ac:dyDescent="0.3">
      <c r="A53" s="50" t="s">
        <v>108</v>
      </c>
      <c r="B53" s="10">
        <v>7458</v>
      </c>
      <c r="C53" s="10">
        <v>6349</v>
      </c>
      <c r="D53" s="10">
        <v>4586</v>
      </c>
      <c r="E53" s="15">
        <v>3139</v>
      </c>
    </row>
    <row r="54" spans="1:5" x14ac:dyDescent="0.3">
      <c r="A54" s="50" t="s">
        <v>109</v>
      </c>
      <c r="B54" s="10">
        <v>4397</v>
      </c>
      <c r="C54" s="10">
        <v>8083</v>
      </c>
      <c r="D54" s="10">
        <v>10374</v>
      </c>
      <c r="E54" s="15">
        <v>9884</v>
      </c>
    </row>
    <row r="55" spans="1:5" x14ac:dyDescent="0.3">
      <c r="A55" s="50" t="s">
        <v>110</v>
      </c>
      <c r="B55" s="10">
        <v>2999</v>
      </c>
      <c r="C55" s="10">
        <v>1491</v>
      </c>
      <c r="D55" s="10">
        <v>1155</v>
      </c>
      <c r="E55" s="15">
        <v>1305</v>
      </c>
    </row>
    <row r="56" spans="1:5" x14ac:dyDescent="0.3">
      <c r="A56" s="5" t="s">
        <v>112</v>
      </c>
      <c r="B56" s="10">
        <v>13227</v>
      </c>
      <c r="C56" s="10">
        <v>11827</v>
      </c>
      <c r="D56" s="10">
        <v>9708</v>
      </c>
      <c r="E56" s="15">
        <v>8190</v>
      </c>
    </row>
    <row r="57" spans="1:5" x14ac:dyDescent="0.3">
      <c r="A57" s="51" t="s">
        <v>113</v>
      </c>
      <c r="B57" s="10">
        <v>47712</v>
      </c>
      <c r="C57" s="10">
        <v>35852</v>
      </c>
      <c r="D57" s="10">
        <v>28023</v>
      </c>
      <c r="E57" s="15">
        <v>18111</v>
      </c>
    </row>
    <row r="58" spans="1:5" x14ac:dyDescent="0.3">
      <c r="A58" s="49" t="s">
        <v>75</v>
      </c>
      <c r="B58" s="48">
        <f>SUM(B52:B57)</f>
        <v>155393</v>
      </c>
      <c r="C58" s="48">
        <f>SUM(C52:C57)</f>
        <v>142266</v>
      </c>
      <c r="D58" s="48">
        <f>SUM(D52:D57)</f>
        <v>126385</v>
      </c>
      <c r="E58" s="48">
        <f>SUM(E52:E57)</f>
        <v>87812</v>
      </c>
    </row>
    <row r="59" spans="1:5" x14ac:dyDescent="0.3">
      <c r="A59" s="9" t="s">
        <v>76</v>
      </c>
      <c r="B59" s="10"/>
      <c r="C59" s="10"/>
      <c r="D59" s="10"/>
      <c r="E59" s="15"/>
    </row>
    <row r="60" spans="1:5" x14ac:dyDescent="0.3">
      <c r="A60" s="1" t="s">
        <v>114</v>
      </c>
      <c r="B60" s="10">
        <v>61582</v>
      </c>
      <c r="C60" s="10">
        <v>51981</v>
      </c>
      <c r="D60" s="10">
        <v>34513</v>
      </c>
      <c r="E60" s="15">
        <v>22696</v>
      </c>
    </row>
    <row r="61" spans="1:5" x14ac:dyDescent="0.3">
      <c r="A61" s="1" t="s">
        <v>115</v>
      </c>
      <c r="B61" s="10">
        <v>11386</v>
      </c>
      <c r="C61" s="10">
        <v>15670</v>
      </c>
      <c r="D61" s="10">
        <v>18060</v>
      </c>
      <c r="E61" s="15">
        <v>17095</v>
      </c>
    </row>
    <row r="62" spans="1:5" x14ac:dyDescent="0.3">
      <c r="A62" s="1" t="s">
        <v>117</v>
      </c>
      <c r="B62" s="10">
        <v>67150</v>
      </c>
      <c r="C62" s="10">
        <v>48744</v>
      </c>
      <c r="D62" s="10">
        <v>31816</v>
      </c>
      <c r="E62" s="15">
        <v>23414</v>
      </c>
    </row>
    <row r="63" spans="1:5" x14ac:dyDescent="0.3">
      <c r="A63" s="5" t="s">
        <v>116</v>
      </c>
      <c r="B63" s="10">
        <v>21121</v>
      </c>
      <c r="C63" s="10">
        <v>23643</v>
      </c>
      <c r="D63" s="10">
        <v>17017</v>
      </c>
      <c r="E63" s="15">
        <v>12171</v>
      </c>
    </row>
    <row r="64" spans="1:5" x14ac:dyDescent="0.3">
      <c r="A64" s="22" t="s">
        <v>77</v>
      </c>
      <c r="B64" s="48">
        <f>SUM(B60:B63)</f>
        <v>161239</v>
      </c>
      <c r="C64" s="48">
        <f t="shared" ref="C64:E64" si="10">SUM(C60:C63)</f>
        <v>140038</v>
      </c>
      <c r="D64" s="48">
        <f t="shared" si="10"/>
        <v>101406</v>
      </c>
      <c r="E64" s="48">
        <f t="shared" si="10"/>
        <v>75376</v>
      </c>
    </row>
    <row r="65" spans="1:5" ht="15" thickBot="1" x14ac:dyDescent="0.35">
      <c r="A65" s="13" t="s">
        <v>78</v>
      </c>
      <c r="B65" s="14">
        <f>B58+B64</f>
        <v>316632</v>
      </c>
      <c r="C65" s="14">
        <f t="shared" ref="C65:E65" si="11">C58+C64</f>
        <v>282304</v>
      </c>
      <c r="D65" s="14">
        <f t="shared" si="11"/>
        <v>227791</v>
      </c>
      <c r="E65" s="14">
        <f t="shared" si="11"/>
        <v>163188</v>
      </c>
    </row>
    <row r="66" spans="1:5" ht="15" thickTop="1" x14ac:dyDescent="0.3">
      <c r="A66" s="9" t="s">
        <v>79</v>
      </c>
      <c r="B66" s="10"/>
      <c r="C66" s="10"/>
      <c r="D66" s="10"/>
      <c r="E66" s="15"/>
    </row>
    <row r="67" spans="1:5" x14ac:dyDescent="0.3">
      <c r="A67" s="5" t="s">
        <v>122</v>
      </c>
      <c r="B67" s="10">
        <v>0</v>
      </c>
      <c r="C67" s="10">
        <v>0</v>
      </c>
      <c r="D67" s="10">
        <v>0</v>
      </c>
      <c r="E67" s="10">
        <v>0</v>
      </c>
    </row>
    <row r="68" spans="1:5" x14ac:dyDescent="0.3">
      <c r="A68" s="5" t="s">
        <v>121</v>
      </c>
      <c r="B68" s="10">
        <v>108</v>
      </c>
      <c r="C68" s="10">
        <v>5</v>
      </c>
      <c r="D68" s="10">
        <v>5</v>
      </c>
      <c r="E68" s="44">
        <v>5</v>
      </c>
    </row>
    <row r="69" spans="1:5" x14ac:dyDescent="0.3">
      <c r="A69" s="5" t="s">
        <v>118</v>
      </c>
      <c r="B69" s="10">
        <v>-7837</v>
      </c>
      <c r="C69" s="10">
        <v>-1837</v>
      </c>
      <c r="D69" s="10">
        <v>-1837</v>
      </c>
      <c r="E69" s="44">
        <v>-1837</v>
      </c>
    </row>
    <row r="70" spans="1:5" x14ac:dyDescent="0.3">
      <c r="A70" s="5" t="s">
        <v>119</v>
      </c>
      <c r="B70" s="10">
        <v>75066</v>
      </c>
      <c r="C70" s="10">
        <v>55538</v>
      </c>
      <c r="D70" s="10">
        <v>42865</v>
      </c>
      <c r="E70" s="44">
        <v>33658</v>
      </c>
    </row>
    <row r="71" spans="1:5" x14ac:dyDescent="0.3">
      <c r="A71" s="5" t="s">
        <v>120</v>
      </c>
      <c r="B71" s="10">
        <v>-4487</v>
      </c>
      <c r="C71" s="10">
        <v>-1376</v>
      </c>
      <c r="D71" s="10">
        <v>-180</v>
      </c>
      <c r="E71" s="44">
        <v>-986</v>
      </c>
    </row>
    <row r="72" spans="1:5" x14ac:dyDescent="0.3">
      <c r="A72" s="5" t="s">
        <v>80</v>
      </c>
      <c r="B72" s="10">
        <v>83193</v>
      </c>
      <c r="C72" s="10">
        <v>85915</v>
      </c>
      <c r="D72" s="10">
        <v>52551</v>
      </c>
      <c r="E72" s="44">
        <v>31220</v>
      </c>
    </row>
    <row r="73" spans="1:5" x14ac:dyDescent="0.3">
      <c r="A73" s="11" t="s">
        <v>81</v>
      </c>
      <c r="B73" s="12">
        <f>SUM(B67:B72)</f>
        <v>146043</v>
      </c>
      <c r="C73" s="12">
        <f t="shared" ref="C73:E73" si="12">SUM(C67:C72)</f>
        <v>138245</v>
      </c>
      <c r="D73" s="12">
        <f t="shared" si="12"/>
        <v>93404</v>
      </c>
      <c r="E73" s="12">
        <f t="shared" si="12"/>
        <v>62060</v>
      </c>
    </row>
    <row r="74" spans="1:5" ht="15" thickBot="1" x14ac:dyDescent="0.35">
      <c r="A74" s="13" t="s">
        <v>82</v>
      </c>
      <c r="B74" s="14">
        <f>B65+B73</f>
        <v>462675</v>
      </c>
      <c r="C74" s="14">
        <f t="shared" ref="C74:E74" si="13">C65+C73</f>
        <v>420549</v>
      </c>
      <c r="D74" s="14">
        <f t="shared" si="13"/>
        <v>321195</v>
      </c>
      <c r="E74" s="14">
        <f t="shared" si="13"/>
        <v>225248</v>
      </c>
    </row>
    <row r="75" spans="1:5" ht="15" thickTop="1" x14ac:dyDescent="0.3">
      <c r="E75" s="15"/>
    </row>
    <row r="76" spans="1:5" x14ac:dyDescent="0.3">
      <c r="A76" s="93" t="s">
        <v>12</v>
      </c>
      <c r="B76" s="93"/>
      <c r="C76" s="93"/>
      <c r="D76" s="93"/>
      <c r="E76" s="15"/>
    </row>
    <row r="77" spans="1:5" x14ac:dyDescent="0.3">
      <c r="B77" s="92" t="s">
        <v>84</v>
      </c>
      <c r="C77" s="92"/>
      <c r="D77" s="92"/>
      <c r="E77" s="15"/>
    </row>
    <row r="78" spans="1:5" ht="15" thickBot="1" x14ac:dyDescent="0.35">
      <c r="B78" s="42">
        <v>2022</v>
      </c>
      <c r="C78" s="42">
        <v>2021</v>
      </c>
      <c r="D78" s="42">
        <v>2020</v>
      </c>
      <c r="E78" s="60">
        <v>2019</v>
      </c>
    </row>
    <row r="79" spans="1:5" x14ac:dyDescent="0.3">
      <c r="A79" s="9" t="s">
        <v>83</v>
      </c>
      <c r="B79" s="56">
        <v>36477</v>
      </c>
      <c r="C79" s="56">
        <v>42377</v>
      </c>
      <c r="D79" s="56">
        <v>36410</v>
      </c>
      <c r="E79" s="56">
        <v>32173</v>
      </c>
    </row>
    <row r="80" spans="1:5" x14ac:dyDescent="0.3">
      <c r="A80" s="9"/>
      <c r="B80" s="56"/>
      <c r="C80" s="56"/>
      <c r="D80" s="56"/>
      <c r="E80" s="15"/>
    </row>
    <row r="81" spans="1:5" x14ac:dyDescent="0.3">
      <c r="A81" s="2" t="s">
        <v>130</v>
      </c>
      <c r="B81" s="44">
        <v>-2722</v>
      </c>
      <c r="C81" s="44">
        <v>33364</v>
      </c>
      <c r="D81" s="44">
        <v>21331</v>
      </c>
      <c r="E81" s="44">
        <v>11588</v>
      </c>
    </row>
    <row r="82" spans="1:5" x14ac:dyDescent="0.3">
      <c r="A82" s="2" t="s">
        <v>131</v>
      </c>
      <c r="B82" s="44">
        <v>41921</v>
      </c>
      <c r="C82" s="44">
        <v>34433</v>
      </c>
      <c r="D82" s="44">
        <v>25180</v>
      </c>
      <c r="E82" s="44">
        <v>21953</v>
      </c>
    </row>
    <row r="83" spans="1:5" x14ac:dyDescent="0.3">
      <c r="A83" s="2" t="s">
        <v>132</v>
      </c>
      <c r="B83" s="44">
        <v>19621</v>
      </c>
      <c r="C83" s="44">
        <v>12757</v>
      </c>
      <c r="D83" s="44">
        <v>9208</v>
      </c>
      <c r="E83" s="44">
        <v>6864</v>
      </c>
    </row>
    <row r="84" spans="1:5" x14ac:dyDescent="0.3">
      <c r="A84" s="2" t="s">
        <v>133</v>
      </c>
      <c r="B84" s="44">
        <v>16966</v>
      </c>
      <c r="C84" s="44">
        <v>-14306</v>
      </c>
      <c r="D84" s="44">
        <v>-2582</v>
      </c>
      <c r="E84" s="44">
        <v>-249</v>
      </c>
    </row>
    <row r="85" spans="1:5" x14ac:dyDescent="0.3">
      <c r="A85" s="2" t="s">
        <v>134</v>
      </c>
      <c r="B85" s="44">
        <v>-8148</v>
      </c>
      <c r="C85" s="44">
        <v>-310</v>
      </c>
      <c r="D85" s="44">
        <v>-554</v>
      </c>
      <c r="E85" s="44">
        <v>796</v>
      </c>
    </row>
    <row r="86" spans="1:5" x14ac:dyDescent="0.3">
      <c r="A86" s="2" t="s">
        <v>135</v>
      </c>
      <c r="B86" s="44">
        <v>-2592</v>
      </c>
      <c r="C86" s="44">
        <v>-9487</v>
      </c>
      <c r="D86" s="44">
        <v>-2849</v>
      </c>
      <c r="E86" s="44">
        <v>-3278</v>
      </c>
    </row>
    <row r="87" spans="1:5" x14ac:dyDescent="0.3">
      <c r="A87" s="2" t="s">
        <v>136</v>
      </c>
      <c r="B87" s="44">
        <v>-21897</v>
      </c>
      <c r="C87" s="44">
        <v>-18163</v>
      </c>
      <c r="D87" s="44">
        <v>-8169</v>
      </c>
      <c r="E87" s="44">
        <v>-7681</v>
      </c>
    </row>
    <row r="88" spans="1:5" x14ac:dyDescent="0.3">
      <c r="A88" s="2" t="s">
        <v>111</v>
      </c>
      <c r="B88" s="44">
        <v>2945</v>
      </c>
      <c r="C88" s="44">
        <v>3602</v>
      </c>
      <c r="D88" s="44">
        <v>17480</v>
      </c>
      <c r="E88" s="44">
        <v>8193</v>
      </c>
    </row>
    <row r="89" spans="1:5" x14ac:dyDescent="0.3">
      <c r="A89" s="2" t="s">
        <v>137</v>
      </c>
      <c r="B89" s="44">
        <v>-1558</v>
      </c>
      <c r="C89" s="44">
        <v>2123</v>
      </c>
      <c r="D89" s="44">
        <v>5754</v>
      </c>
      <c r="E89" s="44">
        <v>-1383</v>
      </c>
    </row>
    <row r="90" spans="1:5" x14ac:dyDescent="0.3">
      <c r="A90" s="2" t="s">
        <v>112</v>
      </c>
      <c r="B90" s="44">
        <v>2216</v>
      </c>
      <c r="C90" s="44">
        <v>2314</v>
      </c>
      <c r="D90" s="44">
        <v>1265</v>
      </c>
      <c r="E90" s="44">
        <v>1711</v>
      </c>
    </row>
    <row r="91" spans="1:5" x14ac:dyDescent="0.3">
      <c r="A91" s="53" t="s">
        <v>123</v>
      </c>
      <c r="B91" s="52">
        <v>0</v>
      </c>
      <c r="C91" s="52">
        <v>0</v>
      </c>
      <c r="D91" s="52">
        <v>0</v>
      </c>
      <c r="E91" s="52">
        <v>0</v>
      </c>
    </row>
    <row r="92" spans="1:5" x14ac:dyDescent="0.3">
      <c r="A92" s="53" t="s">
        <v>124</v>
      </c>
      <c r="B92" s="52">
        <v>0</v>
      </c>
      <c r="C92" s="52">
        <v>0</v>
      </c>
      <c r="D92" s="52">
        <v>0</v>
      </c>
      <c r="E92" s="52">
        <v>0</v>
      </c>
    </row>
    <row r="93" spans="1:5" ht="15" thickBot="1" x14ac:dyDescent="0.35">
      <c r="A93" s="54" t="s">
        <v>125</v>
      </c>
      <c r="B93" s="55">
        <f>SUM(B81:B92)</f>
        <v>46752</v>
      </c>
      <c r="C93" s="55">
        <f t="shared" ref="C93:E93" si="14">SUM(C81:C92)</f>
        <v>46327</v>
      </c>
      <c r="D93" s="55">
        <f t="shared" si="14"/>
        <v>66064</v>
      </c>
      <c r="E93" s="55">
        <f t="shared" si="14"/>
        <v>38514</v>
      </c>
    </row>
    <row r="94" spans="1:5" ht="15" thickTop="1" x14ac:dyDescent="0.3">
      <c r="A94" s="2" t="s">
        <v>138</v>
      </c>
      <c r="B94" s="44">
        <v>-63645</v>
      </c>
      <c r="C94" s="44">
        <v>-61053</v>
      </c>
      <c r="D94" s="44">
        <v>-40140</v>
      </c>
      <c r="E94" s="44">
        <v>-16861</v>
      </c>
    </row>
    <row r="95" spans="1:5" x14ac:dyDescent="0.3">
      <c r="A95" s="2" t="s">
        <v>139</v>
      </c>
      <c r="B95" s="44">
        <v>5324</v>
      </c>
      <c r="C95" s="44">
        <v>5657</v>
      </c>
      <c r="D95" s="44">
        <v>5096</v>
      </c>
      <c r="E95" s="44">
        <v>4172</v>
      </c>
    </row>
    <row r="96" spans="1:5" x14ac:dyDescent="0.3">
      <c r="A96" s="2" t="s">
        <v>140</v>
      </c>
      <c r="B96" s="44">
        <v>-8316</v>
      </c>
      <c r="C96" s="44">
        <v>-1985</v>
      </c>
      <c r="D96" s="44">
        <v>-2325</v>
      </c>
      <c r="E96" s="44">
        <v>-2461</v>
      </c>
    </row>
    <row r="97" spans="1:5" x14ac:dyDescent="0.3">
      <c r="A97" s="2" t="s">
        <v>141</v>
      </c>
      <c r="B97" s="44">
        <v>31601</v>
      </c>
      <c r="C97" s="44">
        <v>59384</v>
      </c>
      <c r="D97" s="44">
        <v>50237</v>
      </c>
      <c r="E97" s="44">
        <v>22681</v>
      </c>
    </row>
    <row r="98" spans="1:5" x14ac:dyDescent="0.3">
      <c r="A98" s="2" t="s">
        <v>142</v>
      </c>
      <c r="B98" s="44">
        <v>-2565</v>
      </c>
      <c r="C98" s="44">
        <v>-60157</v>
      </c>
      <c r="D98" s="44">
        <v>-72479</v>
      </c>
      <c r="E98" s="44">
        <v>-31812</v>
      </c>
    </row>
    <row r="99" spans="1:5" ht="15" thickBot="1" x14ac:dyDescent="0.35">
      <c r="A99" s="54" t="s">
        <v>126</v>
      </c>
      <c r="B99" s="55">
        <f>SUM(B94:B98)</f>
        <v>-37601</v>
      </c>
      <c r="C99" s="55">
        <f t="shared" ref="C99:E99" si="15">SUM(C94:C98)</f>
        <v>-58154</v>
      </c>
      <c r="D99" s="55">
        <f t="shared" si="15"/>
        <v>-59611</v>
      </c>
      <c r="E99" s="55">
        <f t="shared" si="15"/>
        <v>-24281</v>
      </c>
    </row>
    <row r="100" spans="1:5" ht="15" thickTop="1" x14ac:dyDescent="0.3">
      <c r="A100" s="2" t="s">
        <v>143</v>
      </c>
      <c r="B100" s="44">
        <v>-6000</v>
      </c>
      <c r="C100" s="44">
        <v>0</v>
      </c>
      <c r="D100" s="44">
        <v>0</v>
      </c>
      <c r="E100" s="44">
        <v>0</v>
      </c>
    </row>
    <row r="101" spans="1:5" x14ac:dyDescent="0.3">
      <c r="A101" s="2" t="s">
        <v>144</v>
      </c>
      <c r="B101" s="44">
        <v>41553</v>
      </c>
      <c r="C101" s="44">
        <v>7956</v>
      </c>
      <c r="D101" s="44">
        <v>6796</v>
      </c>
      <c r="E101" s="44">
        <v>1402</v>
      </c>
    </row>
    <row r="102" spans="1:5" x14ac:dyDescent="0.3">
      <c r="A102" s="2" t="s">
        <v>145</v>
      </c>
      <c r="B102" s="44">
        <v>-37554</v>
      </c>
      <c r="C102" s="44">
        <v>-7753</v>
      </c>
      <c r="D102" s="44">
        <v>-6177</v>
      </c>
      <c r="E102" s="44">
        <v>-1518</v>
      </c>
    </row>
    <row r="103" spans="1:5" x14ac:dyDescent="0.3">
      <c r="A103" s="2" t="s">
        <v>146</v>
      </c>
      <c r="B103" s="44">
        <v>21166</v>
      </c>
      <c r="C103" s="44">
        <v>19003</v>
      </c>
      <c r="D103" s="44">
        <v>10525</v>
      </c>
      <c r="E103" s="44">
        <v>871</v>
      </c>
    </row>
    <row r="104" spans="1:5" x14ac:dyDescent="0.3">
      <c r="A104" s="2" t="s">
        <v>147</v>
      </c>
      <c r="B104" s="44">
        <v>-1258</v>
      </c>
      <c r="C104" s="44">
        <v>-1590</v>
      </c>
      <c r="D104" s="44">
        <v>-1553</v>
      </c>
      <c r="E104" s="44">
        <v>-1166</v>
      </c>
    </row>
    <row r="105" spans="1:5" x14ac:dyDescent="0.3">
      <c r="A105" s="2" t="s">
        <v>148</v>
      </c>
      <c r="B105" s="44">
        <v>-7941</v>
      </c>
      <c r="C105" s="44">
        <v>-11163</v>
      </c>
      <c r="D105" s="44">
        <v>-10642</v>
      </c>
      <c r="E105" s="44">
        <v>-9628</v>
      </c>
    </row>
    <row r="106" spans="1:5" x14ac:dyDescent="0.3">
      <c r="A106" s="2" t="s">
        <v>149</v>
      </c>
      <c r="B106" s="44">
        <v>-248</v>
      </c>
      <c r="C106" s="44">
        <v>-162</v>
      </c>
      <c r="D106" s="44">
        <v>-53</v>
      </c>
      <c r="E106" s="44">
        <v>-27</v>
      </c>
    </row>
    <row r="107" spans="1:5" ht="15" thickBot="1" x14ac:dyDescent="0.35">
      <c r="A107" s="54" t="s">
        <v>127</v>
      </c>
      <c r="B107" s="55">
        <f>SUM(B100:B106)</f>
        <v>9718</v>
      </c>
      <c r="C107" s="55">
        <f t="shared" ref="C107:E107" si="16">SUM(C100:C106)</f>
        <v>6291</v>
      </c>
      <c r="D107" s="55">
        <f t="shared" si="16"/>
        <v>-1104</v>
      </c>
      <c r="E107" s="55">
        <f t="shared" si="16"/>
        <v>-10066</v>
      </c>
    </row>
    <row r="108" spans="1:5" ht="15" thickTop="1" x14ac:dyDescent="0.3">
      <c r="A108" s="2" t="s">
        <v>150</v>
      </c>
      <c r="B108" s="44">
        <v>-1093</v>
      </c>
      <c r="C108" s="44">
        <v>-364</v>
      </c>
      <c r="D108" s="44">
        <v>618</v>
      </c>
      <c r="E108" s="44">
        <v>70</v>
      </c>
    </row>
    <row r="109" spans="1:5" x14ac:dyDescent="0.3">
      <c r="A109" s="53" t="s">
        <v>128</v>
      </c>
      <c r="B109" s="52">
        <f>B93+B99+B107+B108</f>
        <v>17776</v>
      </c>
      <c r="C109" s="52">
        <f t="shared" ref="C109:E109" si="17">C93+C99+C107+C108</f>
        <v>-5900</v>
      </c>
      <c r="D109" s="52">
        <f t="shared" si="17"/>
        <v>5967</v>
      </c>
      <c r="E109" s="52">
        <f t="shared" si="17"/>
        <v>4237</v>
      </c>
    </row>
    <row r="110" spans="1:5" x14ac:dyDescent="0.3">
      <c r="A110" s="2" t="s">
        <v>151</v>
      </c>
      <c r="B110" s="44">
        <v>36477</v>
      </c>
      <c r="C110" s="44">
        <v>42377</v>
      </c>
      <c r="D110" s="44">
        <v>36410</v>
      </c>
      <c r="E110" s="44">
        <v>32173</v>
      </c>
    </row>
    <row r="111" spans="1:5" ht="15" thickBot="1" x14ac:dyDescent="0.35">
      <c r="A111" s="53" t="s">
        <v>129</v>
      </c>
      <c r="B111" s="55">
        <f>B109+B110</f>
        <v>54253</v>
      </c>
      <c r="C111" s="55">
        <f t="shared" ref="C111:E111" si="18">C109+C110</f>
        <v>36477</v>
      </c>
      <c r="D111" s="55">
        <f t="shared" si="18"/>
        <v>42377</v>
      </c>
      <c r="E111" s="55">
        <f t="shared" si="18"/>
        <v>36410</v>
      </c>
    </row>
    <row r="112" spans="1:5" ht="15" thickTop="1" x14ac:dyDescent="0.3">
      <c r="B112" s="65"/>
      <c r="C112" s="65"/>
      <c r="D112" s="65"/>
      <c r="E112" s="65"/>
    </row>
    <row r="113" spans="1:5" x14ac:dyDescent="0.3">
      <c r="E113" s="15"/>
    </row>
    <row r="114" spans="1:5" x14ac:dyDescent="0.3">
      <c r="A114" s="16" t="s">
        <v>152</v>
      </c>
      <c r="B114" s="9">
        <v>103.39</v>
      </c>
      <c r="C114" s="9">
        <v>157.63999999999999</v>
      </c>
      <c r="D114" s="9">
        <v>165.63</v>
      </c>
      <c r="E114" s="62">
        <v>100.44</v>
      </c>
    </row>
    <row r="115" spans="1:5" x14ac:dyDescent="0.3">
      <c r="A115" s="16" t="s">
        <v>157</v>
      </c>
      <c r="B115" s="56">
        <v>10242</v>
      </c>
      <c r="C115" s="56">
        <v>10175</v>
      </c>
      <c r="D115" s="56">
        <v>10066</v>
      </c>
      <c r="E115" s="56">
        <v>9550</v>
      </c>
    </row>
    <row r="116" spans="1:5" x14ac:dyDescent="0.3">
      <c r="A116" s="16" t="s">
        <v>181</v>
      </c>
      <c r="B116" s="89">
        <f>B24+(-B18)+B23</f>
        <v>-358</v>
      </c>
      <c r="C116" s="89">
        <f t="shared" ref="C116:E116" si="19">C24+(-C18)+C23</f>
        <v>35177</v>
      </c>
      <c r="D116" s="89">
        <f t="shared" si="19"/>
        <v>22994</v>
      </c>
      <c r="E116" s="89">
        <f t="shared" si="19"/>
        <v>13174</v>
      </c>
    </row>
    <row r="118" spans="1:5" x14ac:dyDescent="0.3">
      <c r="A118" s="16" t="s">
        <v>155</v>
      </c>
      <c r="B118" s="67">
        <f>B54+B55+B61+B62</f>
        <v>85932</v>
      </c>
      <c r="C118" s="67">
        <f>C54+C55+C61+C62</f>
        <v>73988</v>
      </c>
      <c r="D118" s="67">
        <f>D54+D55+D61+D62</f>
        <v>61405</v>
      </c>
      <c r="E118" s="67">
        <f>E54+E55+E61+E62</f>
        <v>51698</v>
      </c>
    </row>
    <row r="119" spans="1:5" x14ac:dyDescent="0.3">
      <c r="A119" s="16" t="s">
        <v>156</v>
      </c>
      <c r="B119" s="67">
        <f>B118+B73</f>
        <v>231975</v>
      </c>
      <c r="C119" s="67">
        <f>C118+C73</f>
        <v>212233</v>
      </c>
      <c r="D119" s="67">
        <f>D118+D73</f>
        <v>154809</v>
      </c>
      <c r="E119" s="67">
        <f>E118+E73</f>
        <v>113758</v>
      </c>
    </row>
    <row r="121" spans="1:5" x14ac:dyDescent="0.3">
      <c r="B121" s="45"/>
      <c r="C121" s="45"/>
      <c r="D121" s="45"/>
      <c r="E121" s="45"/>
    </row>
    <row r="122" spans="1:5" x14ac:dyDescent="0.3">
      <c r="B122" s="45"/>
      <c r="C122" s="45"/>
      <c r="D122" s="45"/>
      <c r="E122" s="45"/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9"/>
  <sheetViews>
    <sheetView tabSelected="1" workbookViewId="0">
      <selection activeCell="F29" sqref="F29"/>
    </sheetView>
  </sheetViews>
  <sheetFormatPr defaultRowHeight="14.4" x14ac:dyDescent="0.3"/>
  <cols>
    <col min="1" max="1" width="4.6640625" customWidth="1"/>
    <col min="2" max="2" width="46.109375" customWidth="1"/>
    <col min="3" max="3" width="12.44140625" customWidth="1"/>
    <col min="4" max="5" width="14.6640625" customWidth="1"/>
    <col min="6" max="6" width="108" customWidth="1"/>
    <col min="7" max="7" width="12.44140625" customWidth="1"/>
    <col min="8" max="8" width="11.77734375" customWidth="1"/>
  </cols>
  <sheetData>
    <row r="1" spans="1:9" ht="60" customHeight="1" x14ac:dyDescent="0.5">
      <c r="A1" s="7"/>
      <c r="B1" s="18" t="s">
        <v>58</v>
      </c>
      <c r="C1" s="19"/>
      <c r="D1" s="19"/>
      <c r="E1" s="19"/>
      <c r="F1" s="91"/>
      <c r="G1" s="91"/>
      <c r="H1" s="91"/>
      <c r="I1" s="91"/>
    </row>
    <row r="2" spans="1:9" x14ac:dyDescent="0.3">
      <c r="C2" s="92" t="s">
        <v>84</v>
      </c>
      <c r="D2" s="92"/>
      <c r="E2" s="92"/>
    </row>
    <row r="3" spans="1:9" x14ac:dyDescent="0.3">
      <c r="C3" s="9">
        <v>2022</v>
      </c>
      <c r="D3" s="9">
        <v>2021</v>
      </c>
      <c r="E3" s="9">
        <v>2020</v>
      </c>
    </row>
    <row r="4" spans="1:9" x14ac:dyDescent="0.3">
      <c r="A4" s="20">
        <v>1</v>
      </c>
      <c r="B4" s="9" t="s">
        <v>13</v>
      </c>
    </row>
    <row r="5" spans="1:9" x14ac:dyDescent="0.3">
      <c r="A5" s="20">
        <f>+A4+0.1</f>
        <v>1.1000000000000001</v>
      </c>
      <c r="B5" s="1" t="s">
        <v>14</v>
      </c>
      <c r="C5" s="57">
        <f>'Financial Statements'!B42/'Financial Statements'!B58</f>
        <v>0.9446435811136924</v>
      </c>
      <c r="D5" s="57">
        <f>'Financial Statements'!C42/'Financial Statements'!C58</f>
        <v>1.1357597739445826</v>
      </c>
      <c r="E5" s="57">
        <f>'Financial Statements'!D42/'Financial Statements'!D58</f>
        <v>1.0502274795268425</v>
      </c>
    </row>
    <row r="6" spans="1:9" x14ac:dyDescent="0.3">
      <c r="A6" s="20">
        <f t="shared" ref="A6:A13" si="0">+A5+0.1</f>
        <v>1.2000000000000002</v>
      </c>
      <c r="B6" s="1" t="s">
        <v>15</v>
      </c>
      <c r="C6" s="57">
        <f>('Financial Statements'!B42-'Financial Statements'!B39)/'Financial Statements'!B58</f>
        <v>0.72323721145740161</v>
      </c>
      <c r="D6" s="57">
        <f>('Financial Statements'!C42-'Financial Statements'!C39)/'Financial Statements'!C58</f>
        <v>0.90633039517523517</v>
      </c>
      <c r="E6" s="57">
        <f>('Financial Statements'!D42-'Financial Statements'!D39)/'Financial Statements'!D58</f>
        <v>0.86195355461486722</v>
      </c>
    </row>
    <row r="7" spans="1:9" x14ac:dyDescent="0.3">
      <c r="A7" s="20">
        <f t="shared" si="0"/>
        <v>1.3000000000000003</v>
      </c>
      <c r="B7" s="1" t="s">
        <v>16</v>
      </c>
      <c r="C7" s="57">
        <f>('Financial Statements'!B37+'Financial Statements'!B38)/'Financial Statements'!B58</f>
        <v>0.45063805962945563</v>
      </c>
      <c r="D7" s="57">
        <f>('Financial Statements'!C37+'Financial Statements'!C38)/'Financial Statements'!C58</f>
        <v>0.67513671572968947</v>
      </c>
      <c r="E7" s="57">
        <f>('Financial Statements'!D37+'Financial Statements'!D38)/'Financial Statements'!D58</f>
        <v>0.66776911817066897</v>
      </c>
    </row>
    <row r="8" spans="1:9" x14ac:dyDescent="0.3">
      <c r="A8" s="20">
        <f t="shared" si="0"/>
        <v>1.4000000000000004</v>
      </c>
      <c r="B8" s="1" t="s">
        <v>17</v>
      </c>
      <c r="C8" s="15">
        <f>'Financial Statements'!B42/(('Financial Statements'!B15-'Financial Statements'!B82)/365)</f>
        <v>313.35697116087567</v>
      </c>
      <c r="D8" s="15">
        <f>'Financial Statements'!C42/(('Financial Statements'!C15-'Financial Statements'!C82)/365)</f>
        <v>426.85392933138399</v>
      </c>
      <c r="E8" s="15">
        <f>'Financial Statements'!D42/(('Financial Statements'!D15-'Financial Statements'!D82)/365)</f>
        <v>462.82451900112727</v>
      </c>
    </row>
    <row r="9" spans="1:9" x14ac:dyDescent="0.3">
      <c r="A9" s="20">
        <f t="shared" si="0"/>
        <v>1.5000000000000004</v>
      </c>
      <c r="B9" s="1" t="s">
        <v>18</v>
      </c>
      <c r="C9" s="15">
        <f>(('Financial Statements'!B39+'Financial Statements'!C39)/2)*365/('Financial Statements'!B7)</f>
        <v>23.805675479539207</v>
      </c>
      <c r="D9" s="15">
        <f>(('Financial Statements'!C39+'Financial Statements'!D39)/2)*365/('Financial Statements'!C7)</f>
        <v>21.921892759385468</v>
      </c>
      <c r="E9" s="15">
        <f>(('Financial Statements'!D39+'Financial Statements'!E39)/2)*365/('Financial Statements'!D7)</f>
        <v>20.937694268307844</v>
      </c>
    </row>
    <row r="10" spans="1:9" x14ac:dyDescent="0.3">
      <c r="A10" s="20">
        <f t="shared" si="0"/>
        <v>1.6000000000000005</v>
      </c>
      <c r="B10" s="1" t="s">
        <v>19</v>
      </c>
      <c r="C10" s="15">
        <f>(('Financial Statements'!C52+'Financial Statements'!B52)/2)*365/'Financial Statements'!B8</f>
        <v>100.00027697857917</v>
      </c>
      <c r="D10" s="15">
        <f>(('Financial Statements'!D52+'Financial Statements'!C52)/2)*365/'Financial Statements'!C8</f>
        <v>101.3223992450724</v>
      </c>
      <c r="E10" s="15">
        <f>(('Financial Statements'!E52+'Financial Statements'!D52)/2)*365/'Financial Statements'!D8</f>
        <v>93.650276245461981</v>
      </c>
    </row>
    <row r="11" spans="1:9" x14ac:dyDescent="0.3">
      <c r="A11" s="20">
        <f t="shared" si="0"/>
        <v>1.7000000000000006</v>
      </c>
      <c r="B11" s="1" t="s">
        <v>20</v>
      </c>
      <c r="C11" s="15">
        <f>(('Financial Statements'!B40+'Financial Statements'!C40)/2)*365/'Financial Statements'!B7</f>
        <v>21.765797701480398</v>
      </c>
      <c r="D11" s="15">
        <f>(('Financial Statements'!C40+'Financial Statements'!D40)/2)*365/'Financial Statements'!C7</f>
        <v>18.055311373243484</v>
      </c>
      <c r="E11" s="15">
        <f>(('Financial Statements'!D40+'Financial Statements'!E40)/2)*365/'Financial Statements'!D7</f>
        <v>17.79505470595549</v>
      </c>
    </row>
    <row r="12" spans="1:9" x14ac:dyDescent="0.3">
      <c r="A12" s="20">
        <f t="shared" si="0"/>
        <v>1.8000000000000007</v>
      </c>
      <c r="B12" s="1" t="s">
        <v>21</v>
      </c>
      <c r="C12" s="15">
        <f t="shared" ref="C12:D12" si="1">C11+C9-C10</f>
        <v>-54.42880379755956</v>
      </c>
      <c r="D12" s="15">
        <f t="shared" si="1"/>
        <v>-61.345195112443449</v>
      </c>
      <c r="E12" s="15">
        <f>E11+E9-E10</f>
        <v>-54.917527271198651</v>
      </c>
    </row>
    <row r="13" spans="1:9" x14ac:dyDescent="0.3">
      <c r="A13" s="20">
        <f t="shared" si="0"/>
        <v>1.9000000000000008</v>
      </c>
      <c r="B13" s="1" t="s">
        <v>22</v>
      </c>
      <c r="C13" s="63">
        <f>C14/'Financial Statements'!B7</f>
        <v>-1.6735962084349094E-2</v>
      </c>
      <c r="D13" s="63">
        <f>D14/'Financial Statements'!C7</f>
        <v>4.1109186032156859E-2</v>
      </c>
      <c r="E13" s="63">
        <f>E14/'Financial Statements'!D7</f>
        <v>1.6442869576028845E-2</v>
      </c>
    </row>
    <row r="14" spans="1:9" x14ac:dyDescent="0.3">
      <c r="A14" s="20"/>
      <c r="B14" s="17" t="s">
        <v>23</v>
      </c>
      <c r="C14" s="15">
        <f>'Financial Statements'!B42-'Financial Statements'!B58</f>
        <v>-8602</v>
      </c>
      <c r="D14" s="15">
        <f>'Financial Statements'!C42-'Financial Statements'!C58</f>
        <v>19314</v>
      </c>
      <c r="E14" s="15">
        <f>'Financial Statements'!D42-'Financial Statements'!D58</f>
        <v>6348</v>
      </c>
    </row>
    <row r="15" spans="1:9" x14ac:dyDescent="0.3">
      <c r="A15" s="20"/>
    </row>
    <row r="16" spans="1:9" x14ac:dyDescent="0.3">
      <c r="A16" s="20">
        <f>+A4+1</f>
        <v>2</v>
      </c>
      <c r="B16" s="21" t="s">
        <v>24</v>
      </c>
    </row>
    <row r="17" spans="1:19" x14ac:dyDescent="0.3">
      <c r="A17" s="20">
        <f>+A16+0.1</f>
        <v>2.1</v>
      </c>
      <c r="B17" s="1" t="s">
        <v>10</v>
      </c>
      <c r="C17" s="63">
        <f>'Financial Statements'!B9/'Financial Statements'!B7</f>
        <v>0.43805339865326287</v>
      </c>
      <c r="D17" s="63">
        <f>'Financial Statements'!C9/'Financial Statements'!C7</f>
        <v>0.42032514441639601</v>
      </c>
      <c r="E17" s="63">
        <f>'Financial Statements'!D9/'Financial Statements'!D7</f>
        <v>0.3956779186870571</v>
      </c>
    </row>
    <row r="18" spans="1:19" x14ac:dyDescent="0.3">
      <c r="A18" s="20">
        <f>+A17+0.1</f>
        <v>2.2000000000000002</v>
      </c>
      <c r="B18" s="1" t="s">
        <v>25</v>
      </c>
      <c r="C18" s="63">
        <f>C19/'Financial Statements'!B7</f>
        <v>0.10539064521589235</v>
      </c>
      <c r="D18" s="63">
        <f>D19/'Financial Statements'!C7</f>
        <v>0.12624355607017126</v>
      </c>
      <c r="E18" s="63">
        <f>E19/'Financial Statements'!D7</f>
        <v>0.12453634630527581</v>
      </c>
    </row>
    <row r="19" spans="1:19" x14ac:dyDescent="0.3">
      <c r="A19" s="20"/>
      <c r="B19" s="17" t="s">
        <v>26</v>
      </c>
      <c r="C19" s="96">
        <f>'Financial Statements'!B16+'Financial Statements'!B82</f>
        <v>54169</v>
      </c>
      <c r="D19" s="96">
        <f>'Financial Statements'!C16+'Financial Statements'!C82</f>
        <v>59312</v>
      </c>
      <c r="E19" s="96">
        <f>'Financial Statements'!D16+'Financial Statements'!D82</f>
        <v>48079</v>
      </c>
      <c r="F19" t="s">
        <v>185</v>
      </c>
      <c r="G19" s="88" t="s">
        <v>154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3">
      <c r="A20" s="20">
        <f>+A18+0.1</f>
        <v>2.3000000000000003</v>
      </c>
      <c r="B20" s="1" t="s">
        <v>27</v>
      </c>
      <c r="C20" s="63">
        <f>C21/'Financial Statements'!B7</f>
        <v>2.3829581912242232E-2</v>
      </c>
      <c r="D20" s="63">
        <f>D21/'Financial Statements'!C7</f>
        <v>5.2954097509269465E-2</v>
      </c>
      <c r="E20" s="63">
        <f>E21/'Financial Statements'!D7</f>
        <v>5.9313999751336569E-2</v>
      </c>
    </row>
    <row r="21" spans="1:19" x14ac:dyDescent="0.3">
      <c r="A21" s="20"/>
      <c r="B21" s="17" t="s">
        <v>28</v>
      </c>
      <c r="C21" s="96">
        <f>'Financial Statements'!B16</f>
        <v>12248</v>
      </c>
      <c r="D21" s="96">
        <f>'Financial Statements'!C16</f>
        <v>24879</v>
      </c>
      <c r="E21" s="96">
        <f>'Financial Statements'!D16</f>
        <v>22899</v>
      </c>
      <c r="F21" t="s">
        <v>186</v>
      </c>
      <c r="G21" s="15"/>
      <c r="H21" s="15"/>
      <c r="I21" s="15"/>
    </row>
    <row r="22" spans="1:19" x14ac:dyDescent="0.3">
      <c r="A22" s="20">
        <f>+A20+0.1</f>
        <v>2.4000000000000004</v>
      </c>
      <c r="B22" s="1" t="s">
        <v>29</v>
      </c>
      <c r="C22" s="63">
        <f>'Financial Statements'!B24/'Financial Statements'!B7</f>
        <v>-5.2958950004183018E-3</v>
      </c>
      <c r="D22" s="63">
        <f>'Financial Statements'!C24/'Financial Statements'!C7</f>
        <v>7.1014128755145567E-2</v>
      </c>
      <c r="E22" s="63">
        <f>'Financial Statements'!D24/'Financial Statements'!D7</f>
        <v>5.5252496995316841E-2</v>
      </c>
    </row>
    <row r="23" spans="1:19" x14ac:dyDescent="0.3">
      <c r="A23" s="20"/>
    </row>
    <row r="24" spans="1:19" x14ac:dyDescent="0.3">
      <c r="A24" s="20">
        <f>+A16+1</f>
        <v>3</v>
      </c>
      <c r="B24" s="9" t="s">
        <v>30</v>
      </c>
    </row>
    <row r="25" spans="1:19" x14ac:dyDescent="0.3">
      <c r="A25" s="20">
        <f>+A24+0.1</f>
        <v>3.1</v>
      </c>
      <c r="B25" s="1" t="s">
        <v>31</v>
      </c>
      <c r="C25" s="66">
        <f>('Financial Statements'!B54+'Financial Statements'!B55+'Financial Statements'!B61+'Financial Statements'!B62)/'Financial Statements'!B73</f>
        <v>0.58840204597276147</v>
      </c>
      <c r="D25" s="66">
        <f>('Financial Statements'!C54+'Financial Statements'!C55+'Financial Statements'!C61+'Financial Statements'!C62)/'Financial Statements'!C73</f>
        <v>0.53519476292090129</v>
      </c>
      <c r="E25" s="66">
        <f>('Financial Statements'!D54+'Financial Statements'!D55+'Financial Statements'!D61+'Financial Statements'!D62)/'Financial Statements'!D73</f>
        <v>0.65741295875979611</v>
      </c>
    </row>
    <row r="26" spans="1:19" x14ac:dyDescent="0.3">
      <c r="A26" s="20">
        <f t="shared" ref="A26:A30" si="2">+A25+0.1</f>
        <v>3.2</v>
      </c>
      <c r="B26" s="1" t="s">
        <v>32</v>
      </c>
      <c r="C26" s="66">
        <f>('Financial Statements'!B54+'Financial Statements'!B55+'Financial Statements'!B61+'Financial Statements'!B62)/'Financial Statements'!B49</f>
        <v>0.1857286432160804</v>
      </c>
      <c r="D26" s="66">
        <f>('Financial Statements'!C54+'Financial Statements'!C55+'Financial Statements'!C61+'Financial Statements'!C62)/'Financial Statements'!C49</f>
        <v>0.17593193658765091</v>
      </c>
      <c r="E26" s="66">
        <f>('Financial Statements'!D54+'Financial Statements'!D55+'Financial Statements'!D61+'Financial Statements'!D62)/'Financial Statements'!D49</f>
        <v>0.19117669951275704</v>
      </c>
    </row>
    <row r="27" spans="1:19" x14ac:dyDescent="0.3">
      <c r="A27" s="20">
        <f t="shared" si="2"/>
        <v>3.3000000000000003</v>
      </c>
      <c r="B27" s="1" t="s">
        <v>33</v>
      </c>
      <c r="C27" s="95">
        <f>('Financial Statements'!B62+'Financial Statements'!B55+'Financial Statements'!B54)/('Financial Statements'!B54+'Financial Statements'!B55+'Financial Statements'!B61+'Financial Statements'!B62+'Financial Statements'!B73)</f>
        <v>0.3213535941372993</v>
      </c>
      <c r="D27" s="95">
        <f>('Financial Statements'!C62+'Financial Statements'!C55+'Financial Statements'!C54)/('Financial Statements'!C54+'Financial Statements'!C55+'Financial Statements'!C61+'Financial Statements'!C62+'Financial Statements'!C73)</f>
        <v>0.27478290369546676</v>
      </c>
      <c r="E27" s="95">
        <f>('Financial Statements'!D62+'Financial Statements'!D55+'Financial Statements'!D54)/('Financial Statements'!D54+'Financial Statements'!D55+'Financial Statements'!D61+'Financial Statements'!D62+'Financial Statements'!D73)</f>
        <v>0.27999018144939891</v>
      </c>
      <c r="F27" t="s">
        <v>187</v>
      </c>
    </row>
    <row r="28" spans="1:19" x14ac:dyDescent="0.3">
      <c r="A28" s="20">
        <f t="shared" si="2"/>
        <v>3.4000000000000004</v>
      </c>
      <c r="B28" s="1" t="s">
        <v>34</v>
      </c>
      <c r="C28" s="66">
        <f>C21/(-'Financial Statements'!B18)</f>
        <v>5.1744824672581329</v>
      </c>
      <c r="D28" s="66">
        <f>D21/(-'Financial Statements'!C18)</f>
        <v>13.752902155887231</v>
      </c>
      <c r="E28" s="66">
        <f>E21/(-'Financial Statements'!D18)</f>
        <v>13.903460837887067</v>
      </c>
    </row>
    <row r="29" spans="1:19" x14ac:dyDescent="0.3">
      <c r="A29" s="20">
        <f t="shared" si="2"/>
        <v>3.5000000000000004</v>
      </c>
      <c r="B29" s="1" t="s">
        <v>35</v>
      </c>
      <c r="C29" s="66">
        <f>C21/(SUM('Financial Statements'!B101:B106)-'Financial Statements'!B18)</f>
        <v>0.67724633674315726</v>
      </c>
      <c r="D29" s="66">
        <f>D21/(SUM('Financial Statements'!C101:C106)-'Financial Statements'!C18)</f>
        <v>3.0714814814814817</v>
      </c>
      <c r="E29" s="66">
        <f>E21/(SUM('Financial Statements'!D101:D106)-'Financial Statements'!D18)</f>
        <v>42.171270718232044</v>
      </c>
    </row>
    <row r="30" spans="1:19" x14ac:dyDescent="0.3">
      <c r="A30" s="20">
        <f t="shared" si="2"/>
        <v>3.6000000000000005</v>
      </c>
      <c r="B30" s="1" t="s">
        <v>36</v>
      </c>
      <c r="C30" s="66">
        <f>C31/'Financial Statements'!$B$115</f>
        <v>0.42931068150751805</v>
      </c>
      <c r="D30" s="66">
        <f>D31/'Financial Statements'!$B$115</f>
        <v>-0.25541886350322202</v>
      </c>
      <c r="E30" s="66">
        <f>E31/'Financial Statements'!$B$115</f>
        <v>2.9260886545596563</v>
      </c>
    </row>
    <row r="31" spans="1:19" x14ac:dyDescent="0.3">
      <c r="A31" s="20"/>
      <c r="B31" s="17" t="s">
        <v>37</v>
      </c>
      <c r="C31" s="65">
        <f>'Financial Statements'!B93+'Financial Statements'!B94+'Financial Statements'!B95+SUM('Financial Statements'!B101:B105)</f>
        <v>4397</v>
      </c>
      <c r="D31" s="65">
        <f>'Financial Statements'!C93+'Financial Statements'!C94+'Financial Statements'!C95+SUM('Financial Statements'!C101:C105)</f>
        <v>-2616</v>
      </c>
      <c r="E31" s="65">
        <f>'Financial Statements'!D93+'Financial Statements'!D94+'Financial Statements'!D95+SUM('Financial Statements'!D101:D105)</f>
        <v>29969</v>
      </c>
    </row>
    <row r="32" spans="1:19" x14ac:dyDescent="0.3">
      <c r="A32" s="20"/>
    </row>
    <row r="33" spans="1:8" x14ac:dyDescent="0.3">
      <c r="A33" s="20">
        <f>+A24+1</f>
        <v>4</v>
      </c>
      <c r="B33" s="21" t="s">
        <v>38</v>
      </c>
    </row>
    <row r="34" spans="1:8" x14ac:dyDescent="0.3">
      <c r="A34" s="20">
        <f>+A33+0.1</f>
        <v>4.0999999999999996</v>
      </c>
      <c r="B34" s="1" t="s">
        <v>39</v>
      </c>
      <c r="C34" s="66">
        <f>'Financial Statements'!B7/'Financial Statements'!B49</f>
        <v>1.1108942562273734</v>
      </c>
      <c r="D34" s="66">
        <f>'Financial Statements'!C7/'Financial Statements'!C49</f>
        <v>1.1171635172120253</v>
      </c>
      <c r="E34" s="66">
        <f>'Financial Statements'!D7/'Financial Statements'!D49</f>
        <v>1.2019614253023865</v>
      </c>
    </row>
    <row r="35" spans="1:8" x14ac:dyDescent="0.3">
      <c r="A35" s="20">
        <f t="shared" ref="A35:A37" si="3">+A34+0.1</f>
        <v>4.1999999999999993</v>
      </c>
      <c r="B35" s="1" t="s">
        <v>40</v>
      </c>
      <c r="C35" s="66">
        <f>'Financial Statements'!B7/'Financial Statements'!B44</f>
        <v>2.7527675869640897</v>
      </c>
      <c r="D35" s="66">
        <f>'Financial Statements'!C7/'Financial Statements'!C44</f>
        <v>2.9312395106094922</v>
      </c>
      <c r="E35" s="66">
        <f>'Financial Statements'!D7/'Financial Statements'!D44</f>
        <v>3.4130523188995174</v>
      </c>
    </row>
    <row r="36" spans="1:8" x14ac:dyDescent="0.3">
      <c r="A36" s="20">
        <f t="shared" si="3"/>
        <v>4.2999999999999989</v>
      </c>
      <c r="B36" s="1" t="s">
        <v>41</v>
      </c>
      <c r="C36" s="66">
        <f>'Financial Statements'!B7/'Financial Statements'!B39</f>
        <v>14.939194884464467</v>
      </c>
      <c r="D36" s="66">
        <f>'Financial Statements'!C7/'Financial Statements'!C39</f>
        <v>14.39405637254902</v>
      </c>
      <c r="E36" s="66">
        <f>'Financial Statements'!D7/'Financial Statements'!D39</f>
        <v>16.224584996848076</v>
      </c>
    </row>
    <row r="37" spans="1:8" x14ac:dyDescent="0.3">
      <c r="A37" s="20">
        <f t="shared" si="3"/>
        <v>4.3999999999999986</v>
      </c>
      <c r="B37" s="1" t="s">
        <v>42</v>
      </c>
      <c r="C37" s="63">
        <f>'Financial Statements'!B24/'Financial Statements'!B49</f>
        <v>-5.8831793375479545E-3</v>
      </c>
      <c r="D37" s="63">
        <f>'Financial Statements'!C24/'Financial Statements'!C49</f>
        <v>7.9334393851846041E-2</v>
      </c>
      <c r="E37" s="63">
        <f>'Financial Statements'!D24/'Financial Statements'!D49</f>
        <v>6.6411370040006856E-2</v>
      </c>
    </row>
    <row r="38" spans="1:8" x14ac:dyDescent="0.3">
      <c r="A38" s="20"/>
    </row>
    <row r="39" spans="1:8" x14ac:dyDescent="0.3">
      <c r="A39" s="20">
        <f>+A33+1</f>
        <v>5</v>
      </c>
      <c r="B39" s="21" t="s">
        <v>43</v>
      </c>
    </row>
    <row r="40" spans="1:8" x14ac:dyDescent="0.3">
      <c r="A40" s="20">
        <f>+A39+0.1</f>
        <v>5.0999999999999996</v>
      </c>
      <c r="B40" s="1" t="s">
        <v>44</v>
      </c>
      <c r="C40" s="66">
        <f>'Financial Statements'!B114/'List of Ratios'!C41</f>
        <v>-387.0098126377664</v>
      </c>
      <c r="D40" s="66">
        <f>'Financial Statements'!C114/'List of Ratios'!D41</f>
        <v>48.647087879151179</v>
      </c>
      <c r="E40" s="66">
        <f>'Financial Statements'!D114/'List of Ratios'!E41</f>
        <v>79.184976794336876</v>
      </c>
    </row>
    <row r="41" spans="1:8" x14ac:dyDescent="0.3">
      <c r="A41" s="20">
        <f t="shared" ref="A41:A44" si="4">+A40+0.1</f>
        <v>5.1999999999999993</v>
      </c>
      <c r="B41" s="17" t="s">
        <v>45</v>
      </c>
      <c r="C41" s="66">
        <f>'Financial Statements'!B24/'Financial Statements'!B30</f>
        <v>-0.2671508489547551</v>
      </c>
      <c r="D41" s="66">
        <f>'Financial Statements'!C24/'Financial Statements'!C30</f>
        <v>3.2404817404817403</v>
      </c>
      <c r="E41" s="66">
        <f>'Financial Statements'!D24/'Financial Statements'!D30</f>
        <v>2.0916846440478527</v>
      </c>
    </row>
    <row r="42" spans="1:8" x14ac:dyDescent="0.3">
      <c r="A42" s="20">
        <f t="shared" si="4"/>
        <v>5.2999999999999989</v>
      </c>
      <c r="B42" s="1" t="s">
        <v>46</v>
      </c>
      <c r="C42" s="66">
        <f>'Financial Statements'!B114/'List of Ratios'!C43</f>
        <v>7.2132228864101666</v>
      </c>
      <c r="D42" s="66">
        <f>'Financial Statements'!C114/'List of Ratios'!D43</f>
        <v>11.740471192448188</v>
      </c>
      <c r="E42" s="66">
        <f>'Financial Statements'!D114/'List of Ratios'!E43</f>
        <v>18.083751659457839</v>
      </c>
    </row>
    <row r="43" spans="1:8" x14ac:dyDescent="0.3">
      <c r="A43" s="20">
        <f t="shared" si="4"/>
        <v>5.3999999999999986</v>
      </c>
      <c r="B43" s="17" t="s">
        <v>47</v>
      </c>
      <c r="C43" s="66">
        <f>'Financial Statements'!B73/'Financial Statements'!B30</f>
        <v>14.333398763372264</v>
      </c>
      <c r="D43" s="66">
        <f>'Financial Statements'!C73/'Financial Statements'!C30</f>
        <v>13.427059052059052</v>
      </c>
      <c r="E43" s="66">
        <f>'Financial Statements'!D73/'Financial Statements'!D30</f>
        <v>9.1590507942733872</v>
      </c>
    </row>
    <row r="44" spans="1:8" x14ac:dyDescent="0.3">
      <c r="A44" s="20">
        <f t="shared" si="4"/>
        <v>5.4999999999999982</v>
      </c>
      <c r="B44" s="1" t="s">
        <v>48</v>
      </c>
      <c r="C44">
        <v>0</v>
      </c>
      <c r="D44">
        <v>0</v>
      </c>
      <c r="E44">
        <v>0</v>
      </c>
      <c r="G44" s="74" t="s">
        <v>180</v>
      </c>
      <c r="H44" s="74"/>
    </row>
    <row r="45" spans="1:8" x14ac:dyDescent="0.3">
      <c r="A45" s="20"/>
      <c r="B45" s="17" t="s">
        <v>49</v>
      </c>
      <c r="C45">
        <v>0</v>
      </c>
      <c r="D45">
        <v>0</v>
      </c>
      <c r="E45">
        <v>0</v>
      </c>
      <c r="G45" s="74" t="s">
        <v>180</v>
      </c>
      <c r="H45" s="74"/>
    </row>
    <row r="46" spans="1:8" x14ac:dyDescent="0.3">
      <c r="A46" s="20">
        <f>+A44+0.1</f>
        <v>5.5999999999999979</v>
      </c>
      <c r="B46" s="1" t="s">
        <v>50</v>
      </c>
      <c r="C46">
        <v>0</v>
      </c>
      <c r="D46">
        <v>0</v>
      </c>
      <c r="E46">
        <v>0</v>
      </c>
      <c r="G46" s="74" t="s">
        <v>180</v>
      </c>
      <c r="H46" s="74"/>
    </row>
    <row r="47" spans="1:8" x14ac:dyDescent="0.3">
      <c r="A47" s="20">
        <f t="shared" ref="A47:A50" si="5">+A45+0.1</f>
        <v>0.1</v>
      </c>
      <c r="B47" s="1" t="s">
        <v>51</v>
      </c>
      <c r="C47" s="63">
        <f>'Financial Statements'!B24/'Financial Statements'!B73</f>
        <v>-1.8638346240490815E-2</v>
      </c>
      <c r="D47" s="63">
        <f>'Financial Statements'!C24/'Financial Statements'!C73</f>
        <v>0.2413396506202756</v>
      </c>
      <c r="E47" s="63">
        <f>'Financial Statements'!D24/'Financial Statements'!D73</f>
        <v>0.22837351719412444</v>
      </c>
    </row>
    <row r="48" spans="1:8" x14ac:dyDescent="0.3">
      <c r="A48" s="20">
        <f t="shared" si="5"/>
        <v>5.6999999999999975</v>
      </c>
      <c r="B48" s="1" t="s">
        <v>52</v>
      </c>
      <c r="C48" s="63">
        <f>C21/('Financial Statements'!B73+'Financial Statements'!B62)</f>
        <v>5.745029151989043E-2</v>
      </c>
      <c r="D48" s="63">
        <f>D21/('Financial Statements'!C73+'Financial Statements'!C62)</f>
        <v>0.13305060725497223</v>
      </c>
      <c r="E48" s="63">
        <f>E21/('Financial Statements'!D73+'Financial Statements'!D62)</f>
        <v>0.18287014853857211</v>
      </c>
    </row>
    <row r="49" spans="1:8" x14ac:dyDescent="0.3">
      <c r="A49" s="20">
        <f t="shared" si="5"/>
        <v>0.2</v>
      </c>
      <c r="B49" s="1" t="s">
        <v>42</v>
      </c>
      <c r="C49" s="63">
        <f>'Financial Statements'!B24/'Financial Statements'!B49</f>
        <v>-5.8831793375479545E-3</v>
      </c>
      <c r="D49" s="63">
        <f>'Financial Statements'!C24/'Financial Statements'!C49</f>
        <v>7.9334393851846041E-2</v>
      </c>
      <c r="E49" s="63">
        <f>'Financial Statements'!D24/'Financial Statements'!D49</f>
        <v>6.6411370040006856E-2</v>
      </c>
    </row>
    <row r="50" spans="1:8" x14ac:dyDescent="0.3">
      <c r="A50" s="20">
        <f t="shared" si="5"/>
        <v>5.7999999999999972</v>
      </c>
      <c r="B50" s="1" t="s">
        <v>53</v>
      </c>
      <c r="C50" s="66">
        <f>C51/C19</f>
        <v>20.032116339603832</v>
      </c>
      <c r="D50" s="66">
        <f t="shared" ref="D50:E50" si="6">D51/D19</f>
        <v>27.997242379282437</v>
      </c>
      <c r="E50" s="66">
        <f t="shared" si="6"/>
        <v>35.527418207533437</v>
      </c>
    </row>
    <row r="51" spans="1:8" x14ac:dyDescent="0.3">
      <c r="A51" s="20"/>
      <c r="B51" s="17" t="s">
        <v>54</v>
      </c>
      <c r="C51" s="15">
        <f>('Financial Statements'!B114*'Financial Statements'!B30)+(SUM('Financial Statements'!B54:B55)+SUM('Financial Statements'!B61:B62))-'Financial Statements'!B111</f>
        <v>1085119.71</v>
      </c>
      <c r="D51" s="15">
        <f>('Financial Statements'!C114*'Financial Statements'!C30)+(SUM('Financial Statements'!C54:C55)+SUM('Financial Statements'!C61:C62))-'Financial Statements'!C111</f>
        <v>1660572.44</v>
      </c>
      <c r="E51" s="15">
        <f>('Financial Statements'!D114*'Financial Statements'!D30)+(SUM('Financial Statements'!D54:D55)+SUM('Financial Statements'!D61:D62))-'Financial Statements'!D111</f>
        <v>1708122.74</v>
      </c>
    </row>
    <row r="53" spans="1:8" x14ac:dyDescent="0.3">
      <c r="B53" s="16" t="s">
        <v>182</v>
      </c>
      <c r="C53" s="9">
        <v>103.39</v>
      </c>
      <c r="D53" s="9">
        <v>157.63999999999999</v>
      </c>
      <c r="E53" s="9">
        <v>165.63</v>
      </c>
      <c r="F53" s="62"/>
    </row>
    <row r="54" spans="1:8" x14ac:dyDescent="0.3">
      <c r="B54" s="16"/>
      <c r="C54" s="9"/>
      <c r="D54" s="9"/>
      <c r="E54" s="9"/>
      <c r="F54" s="62"/>
    </row>
    <row r="55" spans="1:8" x14ac:dyDescent="0.3">
      <c r="B55" s="68"/>
      <c r="C55" s="68"/>
      <c r="D55" s="68"/>
      <c r="E55" s="68"/>
      <c r="F55" s="68"/>
      <c r="G55" s="94" t="s">
        <v>179</v>
      </c>
      <c r="H55" s="94"/>
    </row>
    <row r="56" spans="1:8" x14ac:dyDescent="0.3">
      <c r="B56" s="69" t="s">
        <v>158</v>
      </c>
      <c r="C56" s="68"/>
      <c r="D56" s="68"/>
      <c r="E56" s="68"/>
      <c r="F56" s="68"/>
      <c r="G56" s="75">
        <v>2022</v>
      </c>
      <c r="H56" s="75">
        <v>2021</v>
      </c>
    </row>
    <row r="57" spans="1:8" x14ac:dyDescent="0.3">
      <c r="B57" s="9" t="s">
        <v>178</v>
      </c>
      <c r="G57" s="63"/>
      <c r="H57" s="63"/>
    </row>
    <row r="58" spans="1:8" x14ac:dyDescent="0.3">
      <c r="B58" t="s">
        <v>159</v>
      </c>
      <c r="G58" s="63">
        <f>('Financial Statements'!B5-'Financial Statements'!C5)/'Financial Statements'!C5</f>
        <v>4.6073610243726913E-3</v>
      </c>
      <c r="H58" s="63">
        <f>('Financial Statements'!C5-'Financial Statements'!D5)/'Financial Statements'!D5</f>
        <v>0.11982493110714865</v>
      </c>
    </row>
    <row r="59" spans="1:8" x14ac:dyDescent="0.3">
      <c r="B59" t="s">
        <v>160</v>
      </c>
      <c r="G59" s="63">
        <f>('Financial Statements'!B6-'Financial Statements'!C6)/'Financial Statements'!C6</f>
        <v>0.18877365316727696</v>
      </c>
      <c r="H59" s="63">
        <f>('Financial Statements'!C6-'Financial Statements'!D6)/'Financial Statements'!D6</f>
        <v>0.34020770030972852</v>
      </c>
    </row>
    <row r="60" spans="1:8" x14ac:dyDescent="0.3">
      <c r="B60" s="49" t="s">
        <v>59</v>
      </c>
      <c r="C60" s="79"/>
      <c r="D60" s="79"/>
      <c r="E60" s="79"/>
      <c r="F60" s="79"/>
      <c r="G60" s="80">
        <f>('Financial Statements'!B7-'Financial Statements'!C7)/'Financial Statements'!C7</f>
        <v>9.3995172639850841E-2</v>
      </c>
      <c r="H60" s="80">
        <f>('Financial Statements'!C7-'Financial Statements'!D7)/'Financial Statements'!D7</f>
        <v>0.21695366571345684</v>
      </c>
    </row>
    <row r="61" spans="1:8" x14ac:dyDescent="0.3">
      <c r="B61" s="9" t="s">
        <v>87</v>
      </c>
      <c r="C61" s="9"/>
    </row>
    <row r="62" spans="1:8" x14ac:dyDescent="0.3">
      <c r="B62" t="s">
        <v>159</v>
      </c>
      <c r="G62" s="76" t="s">
        <v>177</v>
      </c>
      <c r="H62" s="76" t="s">
        <v>177</v>
      </c>
    </row>
    <row r="63" spans="1:8" x14ac:dyDescent="0.3">
      <c r="B63" t="s">
        <v>160</v>
      </c>
      <c r="G63" s="76" t="s">
        <v>177</v>
      </c>
      <c r="H63" s="76" t="s">
        <v>177</v>
      </c>
    </row>
    <row r="64" spans="1:8" x14ac:dyDescent="0.3">
      <c r="B64" s="49" t="s">
        <v>161</v>
      </c>
      <c r="C64" s="79"/>
      <c r="D64" s="79"/>
      <c r="E64" s="79"/>
      <c r="F64" s="79"/>
      <c r="G64" s="80">
        <f>('Financial Statements'!B8-'Financial Statements'!C8)/'Financial Statements'!C8</f>
        <v>6.0537408571512498E-2</v>
      </c>
      <c r="H64" s="80">
        <f>('Financial Statements'!C8-'Financial Statements'!D8)/'Financial Statements'!D8</f>
        <v>0.16732031186376747</v>
      </c>
    </row>
    <row r="65" spans="2:8" x14ac:dyDescent="0.3">
      <c r="B65" s="9"/>
      <c r="G65" s="70"/>
      <c r="H65" s="70"/>
    </row>
    <row r="66" spans="2:8" x14ac:dyDescent="0.3">
      <c r="B66" s="49" t="s">
        <v>88</v>
      </c>
      <c r="C66" s="79"/>
      <c r="D66" s="79"/>
      <c r="E66" s="79"/>
      <c r="F66" s="79"/>
      <c r="G66" s="80">
        <f>('Financial Statements'!B9-'Financial Statements'!C9)/'Financial Statements'!C9</f>
        <v>0.14013712919920193</v>
      </c>
      <c r="H66" s="80">
        <f>('Financial Statements'!C9-'Financial Statements'!D9)/'Financial Statements'!D9</f>
        <v>0.29275908796323574</v>
      </c>
    </row>
    <row r="67" spans="2:8" x14ac:dyDescent="0.3">
      <c r="B67" t="s">
        <v>159</v>
      </c>
      <c r="G67" s="76" t="s">
        <v>177</v>
      </c>
      <c r="H67" s="76" t="s">
        <v>177</v>
      </c>
    </row>
    <row r="68" spans="2:8" x14ac:dyDescent="0.3">
      <c r="B68" t="s">
        <v>160</v>
      </c>
      <c r="G68" s="76" t="s">
        <v>177</v>
      </c>
      <c r="H68" s="76" t="s">
        <v>177</v>
      </c>
    </row>
    <row r="69" spans="2:8" x14ac:dyDescent="0.3">
      <c r="B69" s="9" t="s">
        <v>162</v>
      </c>
      <c r="C69" s="9"/>
      <c r="D69" s="9"/>
      <c r="G69" s="70"/>
      <c r="H69" s="70"/>
    </row>
    <row r="70" spans="2:8" x14ac:dyDescent="0.3">
      <c r="B70" s="77" t="s">
        <v>89</v>
      </c>
      <c r="G70" s="71">
        <f>('Financial Statements'!B10-'Financial Statements'!C10)/'Financial Statements'!C10</f>
        <v>0.12232562474204843</v>
      </c>
      <c r="H70" s="71">
        <f>('Financial Statements'!C10-'Financial Statements'!D10)/'Financial Statements'!D10</f>
        <v>0.28357571304065488</v>
      </c>
    </row>
    <row r="71" spans="2:8" x14ac:dyDescent="0.3">
      <c r="B71" s="78" t="s">
        <v>90</v>
      </c>
      <c r="G71" s="71">
        <f>('Financial Statements'!B11-'Financial Statements'!C11)/'Financial Statements'!C11</f>
        <v>0.3061621351602084</v>
      </c>
      <c r="H71" s="71">
        <f>('Financial Statements'!C11-'Financial Statements'!D11)/'Financial Statements'!D11</f>
        <v>0.31146467009826861</v>
      </c>
    </row>
    <row r="72" spans="2:8" x14ac:dyDescent="0.3">
      <c r="B72" s="77" t="s">
        <v>91</v>
      </c>
      <c r="G72" s="71">
        <f>('Financial Statements'!B12-'Financial Statements'!C12)/'Financial Statements'!C12</f>
        <v>0.29759454394642254</v>
      </c>
      <c r="H72" s="71">
        <f>('Financial Statements'!C12-'Financial Statements'!D12)/'Financial Statements'!D12</f>
        <v>0.47905307161032351</v>
      </c>
    </row>
    <row r="73" spans="2:8" x14ac:dyDescent="0.3">
      <c r="B73" s="77" t="s">
        <v>92</v>
      </c>
      <c r="G73" s="71">
        <f>('Financial Statements'!B13-'Financial Statements'!C13)/'Financial Statements'!C13</f>
        <v>0.3477275303184858</v>
      </c>
      <c r="H73" s="71">
        <f>('Financial Statements'!C13-'Financial Statements'!D13)/'Financial Statements'!D13</f>
        <v>0.32318536292741451</v>
      </c>
    </row>
    <row r="74" spans="2:8" x14ac:dyDescent="0.3">
      <c r="B74" s="77" t="s">
        <v>93</v>
      </c>
      <c r="G74" s="71">
        <f>('Financial Statements'!B14-'Financial Statements'!C14)/'Financial Statements'!C14</f>
        <v>19.370967741935484</v>
      </c>
      <c r="H74" s="71">
        <f>('Financial Statements'!C14-'Financial Statements'!D14)/-'Financial Statements'!D14</f>
        <v>1.8266666666666667</v>
      </c>
    </row>
    <row r="75" spans="2:8" x14ac:dyDescent="0.3">
      <c r="B75" s="49" t="s">
        <v>60</v>
      </c>
      <c r="C75" s="79"/>
      <c r="D75" s="79"/>
      <c r="E75" s="79"/>
      <c r="F75" s="79"/>
      <c r="G75" s="80">
        <f>('Financial Statements'!B15-'Financial Statements'!C15)/'Financial Statements'!C15</f>
        <v>0.23351815479811586</v>
      </c>
      <c r="H75" s="80">
        <f>('Financial Statements'!C15-'Financial Statements'!D15)/'Financial Statements'!D15</f>
        <v>0.32913644134362152</v>
      </c>
    </row>
    <row r="76" spans="2:8" x14ac:dyDescent="0.3">
      <c r="B76" s="9"/>
      <c r="G76" s="70"/>
      <c r="H76" s="70"/>
    </row>
    <row r="77" spans="2:8" x14ac:dyDescent="0.3">
      <c r="B77" s="9"/>
    </row>
    <row r="78" spans="2:8" x14ac:dyDescent="0.3">
      <c r="B78" s="72" t="s">
        <v>163</v>
      </c>
      <c r="C78" s="9"/>
      <c r="D78" s="9"/>
      <c r="E78" s="9"/>
    </row>
    <row r="79" spans="2:8" x14ac:dyDescent="0.3">
      <c r="B79" s="59" t="s">
        <v>65</v>
      </c>
      <c r="C79" s="9"/>
      <c r="D79" s="9"/>
      <c r="E79" s="9"/>
    </row>
    <row r="80" spans="2:8" x14ac:dyDescent="0.3">
      <c r="B80" s="1" t="s">
        <v>66</v>
      </c>
      <c r="C80" s="9"/>
      <c r="D80" s="9"/>
      <c r="E80" s="9"/>
      <c r="G80" s="63">
        <f>('Financial Statements'!B37-'Financial Statements'!C37)/'Financial Statements'!C37</f>
        <v>0.48779679734953063</v>
      </c>
      <c r="H80" s="63">
        <f>('Financial Statements'!C37-'Financial Statements'!D37)/'Financial Statements'!D37</f>
        <v>-0.14011680357058071</v>
      </c>
    </row>
    <row r="81" spans="2:8" x14ac:dyDescent="0.3">
      <c r="B81" s="1" t="s">
        <v>67</v>
      </c>
      <c r="C81" s="9"/>
      <c r="D81" s="9"/>
      <c r="E81" s="9"/>
      <c r="G81" s="63">
        <f>('Financial Statements'!B38-'Financial Statements'!C38)/'Financial Statements'!C38</f>
        <v>-0.7302645874074446</v>
      </c>
      <c r="H81" s="63">
        <f>('Financial Statements'!C38-'Financial Statements'!D38)/'Financial Statements'!D38</f>
        <v>0.41526706722808343</v>
      </c>
    </row>
    <row r="82" spans="2:8" x14ac:dyDescent="0.3">
      <c r="B82" s="1" t="s">
        <v>69</v>
      </c>
      <c r="C82" s="9"/>
      <c r="D82" s="9"/>
      <c r="E82" s="9"/>
      <c r="G82" s="63">
        <f>('Financial Statements'!B39-'Financial Statements'!C39)/'Financial Statements'!C39</f>
        <v>5.4074754901960786E-2</v>
      </c>
      <c r="H82" s="63">
        <f>('Financial Statements'!C39-'Financial Statements'!D39)/'Financial Statements'!D39</f>
        <v>0.37171674721580161</v>
      </c>
    </row>
    <row r="83" spans="2:8" x14ac:dyDescent="0.3">
      <c r="B83" s="1" t="s">
        <v>68</v>
      </c>
      <c r="C83" s="9"/>
      <c r="D83" s="9"/>
      <c r="E83" s="9"/>
      <c r="G83" s="63">
        <f>('Financial Statements'!B40-'Financial Statements'!C40)/'Financial Statements'!C40</f>
        <v>0.31320754716981131</v>
      </c>
      <c r="H83" s="63">
        <f>('Financial Statements'!C40-'Financial Statements'!D40)/'Financial Statements'!D40</f>
        <v>0.32625994694960214</v>
      </c>
    </row>
    <row r="84" spans="2:8" x14ac:dyDescent="0.3">
      <c r="B84" s="1" t="s">
        <v>70</v>
      </c>
      <c r="C84" s="9"/>
      <c r="D84" s="9"/>
      <c r="E84" s="9"/>
      <c r="G84" s="63">
        <f>('Financial Statements'!B41-'Financial Statements'!C41)/'Financial Statements'!C41</f>
        <v>0.18291347207009859</v>
      </c>
      <c r="H84" s="63">
        <f>('Financial Statements'!C41-'Financial Statements'!D41)/'Financial Statements'!D41</f>
        <v>0.4012278009208507</v>
      </c>
    </row>
    <row r="85" spans="2:8" x14ac:dyDescent="0.3">
      <c r="B85" s="49" t="s">
        <v>71</v>
      </c>
      <c r="C85" s="49"/>
      <c r="D85" s="49"/>
      <c r="E85" s="49"/>
      <c r="F85" s="79"/>
      <c r="G85" s="80">
        <f>('Financial Statements'!B42-'Financial Statements'!C42)/'Financial Statements'!C42</f>
        <v>-9.1527416759499935E-2</v>
      </c>
      <c r="H85" s="80">
        <f>('Financial Statements'!C42-'Financial Statements'!D42)/'Financial Statements'!D42</f>
        <v>0.21733103297597434</v>
      </c>
    </row>
    <row r="86" spans="2:8" x14ac:dyDescent="0.3">
      <c r="B86" s="9"/>
      <c r="C86" s="9"/>
      <c r="D86" s="9"/>
      <c r="E86" s="9"/>
    </row>
    <row r="87" spans="2:8" x14ac:dyDescent="0.3">
      <c r="B87" s="59" t="s">
        <v>72</v>
      </c>
      <c r="C87" s="9"/>
      <c r="D87" s="9"/>
      <c r="E87" s="9"/>
    </row>
    <row r="88" spans="2:8" x14ac:dyDescent="0.3">
      <c r="B88" s="5" t="s">
        <v>103</v>
      </c>
      <c r="C88" s="9"/>
      <c r="D88" s="9"/>
      <c r="E88" s="9"/>
      <c r="G88" s="63">
        <f>('Financial Statements'!B44-'Financial Statements'!C44)/'Financial Statements'!C44</f>
        <v>0.16492285423724584</v>
      </c>
      <c r="H88" s="63">
        <f>('Financial Statements'!C44-'Financial Statements'!D44)/'Financial Statements'!D44</f>
        <v>0.41698640309775981</v>
      </c>
    </row>
    <row r="89" spans="2:8" x14ac:dyDescent="0.3">
      <c r="B89" s="5" t="s">
        <v>104</v>
      </c>
      <c r="C89" s="9"/>
      <c r="D89" s="9"/>
      <c r="E89" s="9"/>
      <c r="G89" s="63">
        <f>('Financial Statements'!B45-'Financial Statements'!C45)/'Financial Statements'!C45</f>
        <v>0.17904140365892801</v>
      </c>
      <c r="H89" s="63">
        <f>('Financial Statements'!C45-'Financial Statements'!D45)/'Financial Statements'!D45</f>
        <v>0.49340931483503314</v>
      </c>
    </row>
    <row r="90" spans="2:8" x14ac:dyDescent="0.3">
      <c r="B90" s="5" t="s">
        <v>105</v>
      </c>
      <c r="C90" s="9"/>
      <c r="D90" s="9"/>
      <c r="E90" s="9"/>
      <c r="G90" s="63">
        <f>('Financial Statements'!B46-'Financial Statements'!C46)/'Financial Statements'!C46</f>
        <v>0.31988810096935788</v>
      </c>
      <c r="H90" s="63">
        <f>('Financial Statements'!C46-'Financial Statements'!D46)/'Financial Statements'!D46</f>
        <v>2.3573283611906505E-2</v>
      </c>
    </row>
    <row r="91" spans="2:8" x14ac:dyDescent="0.3">
      <c r="B91" s="5" t="s">
        <v>106</v>
      </c>
      <c r="C91" s="9"/>
      <c r="D91" s="9"/>
      <c r="E91" s="9"/>
      <c r="G91" s="63">
        <f>('Financial Statements'!B47-'Financial Statements'!C47)/'Financial Statements'!C47</f>
        <v>0.56996511841380582</v>
      </c>
      <c r="H91" s="63">
        <f>('Financial Statements'!C47-'Financial Statements'!D47)/'Financial Statements'!D47</f>
        <v>0.19567126174378788</v>
      </c>
    </row>
    <row r="92" spans="2:8" x14ac:dyDescent="0.3">
      <c r="B92" s="49" t="s">
        <v>164</v>
      </c>
      <c r="C92" s="49"/>
      <c r="D92" s="49"/>
      <c r="E92" s="49"/>
      <c r="F92" s="79"/>
      <c r="G92" s="80">
        <f>('Financial Statements'!B48-'Financial Statements'!C48)/'Financial Statements'!C48</f>
        <v>0.21977533990554854</v>
      </c>
      <c r="H92" s="80">
        <f>('Financial Statements'!C48-'Financial Statements'!D48)/'Financial Statements'!D48</f>
        <v>0.37411785930320168</v>
      </c>
    </row>
    <row r="93" spans="2:8" x14ac:dyDescent="0.3">
      <c r="B93" s="9"/>
      <c r="C93" s="9"/>
      <c r="D93" s="9"/>
      <c r="E93" s="9"/>
    </row>
    <row r="94" spans="2:8" ht="15" thickBot="1" x14ac:dyDescent="0.35">
      <c r="B94" s="13" t="s">
        <v>73</v>
      </c>
      <c r="C94" s="13"/>
      <c r="D94" s="13"/>
      <c r="E94" s="13"/>
      <c r="F94" s="81"/>
      <c r="G94" s="82">
        <f>('Financial Statements'!B49-'Financial Statements'!C49)/'Financial Statements'!C49</f>
        <v>0.10016906472254125</v>
      </c>
      <c r="H94" s="82">
        <f>('Financial Statements'!C49-'Financial Statements'!D49)/'Financial Statements'!D49</f>
        <v>0.30932611030682294</v>
      </c>
    </row>
    <row r="95" spans="2:8" ht="15" thickTop="1" x14ac:dyDescent="0.3">
      <c r="C95" s="9"/>
      <c r="D95" s="9"/>
      <c r="E95" s="9"/>
    </row>
    <row r="96" spans="2:8" x14ac:dyDescent="0.3">
      <c r="B96" s="59" t="s">
        <v>74</v>
      </c>
      <c r="C96" s="9"/>
      <c r="D96" s="9"/>
      <c r="E96" s="9"/>
    </row>
    <row r="97" spans="2:8" x14ac:dyDescent="0.3">
      <c r="B97" s="5" t="s">
        <v>111</v>
      </c>
      <c r="C97" s="9"/>
      <c r="D97" s="9"/>
      <c r="E97" s="9"/>
      <c r="G97" s="63">
        <f>('Financial Statements'!B52-'Financial Statements'!C52)/'Financial Statements'!C52</f>
        <v>1.1898708430794264E-2</v>
      </c>
      <c r="H97" s="63">
        <f>('Financial Statements'!C52-'Financial Statements'!D52)/'Financial Statements'!D52</f>
        <v>8.4437337156564055E-2</v>
      </c>
    </row>
    <row r="98" spans="2:8" ht="15" customHeight="1" x14ac:dyDescent="0.3">
      <c r="B98" s="50" t="s">
        <v>108</v>
      </c>
      <c r="C98" s="9"/>
      <c r="D98" s="9"/>
      <c r="E98" s="9"/>
      <c r="G98" s="63">
        <f>('Financial Statements'!B53-'Financial Statements'!C53)/'Financial Statements'!C53</f>
        <v>0.17467317687824854</v>
      </c>
      <c r="H98" s="63">
        <f>('Financial Statements'!C53-'Financial Statements'!D53)/'Financial Statements'!D53</f>
        <v>0.38443087658089836</v>
      </c>
    </row>
    <row r="99" spans="2:8" x14ac:dyDescent="0.3">
      <c r="B99" s="50" t="s">
        <v>109</v>
      </c>
      <c r="C99" s="9"/>
      <c r="D99" s="9"/>
      <c r="E99" s="9"/>
      <c r="G99" s="63">
        <f>('Financial Statements'!B54-'Financial Statements'!C54)/'Financial Statements'!C54</f>
        <v>-0.45601880489917113</v>
      </c>
      <c r="H99" s="63">
        <f>('Financial Statements'!C54-'Financial Statements'!D54)/'Financial Statements'!D54</f>
        <v>-0.2208405629458261</v>
      </c>
    </row>
    <row r="100" spans="2:8" x14ac:dyDescent="0.3">
      <c r="B100" s="50" t="s">
        <v>110</v>
      </c>
      <c r="C100" s="9"/>
      <c r="D100" s="9"/>
      <c r="E100" s="9"/>
      <c r="G100" s="63">
        <f>('Financial Statements'!B55-'Financial Statements'!C55)/'Financial Statements'!C55</f>
        <v>1.01140174379611</v>
      </c>
      <c r="H100" s="63">
        <f>('Financial Statements'!C55-'Financial Statements'!D55)/'Financial Statements'!D55</f>
        <v>0.29090909090909089</v>
      </c>
    </row>
    <row r="101" spans="2:8" x14ac:dyDescent="0.3">
      <c r="B101" s="5" t="s">
        <v>112</v>
      </c>
      <c r="C101" s="9"/>
      <c r="D101" s="9"/>
      <c r="E101" s="9"/>
      <c r="G101" s="63">
        <f>('Financial Statements'!B56-'Financial Statements'!C56)/'Financial Statements'!C56</f>
        <v>0.11837321383275556</v>
      </c>
      <c r="H101" s="63">
        <f>('Financial Statements'!C56-'Financial Statements'!D56)/'Financial Statements'!D56</f>
        <v>0.21827358879274825</v>
      </c>
    </row>
    <row r="102" spans="2:8" x14ac:dyDescent="0.3">
      <c r="B102" s="51" t="s">
        <v>113</v>
      </c>
      <c r="C102" s="9"/>
      <c r="D102" s="9"/>
      <c r="E102" s="9"/>
      <c r="G102" s="63">
        <f>('Financial Statements'!B57-'Financial Statements'!C57)/'Financial Statements'!C57</f>
        <v>0.33080441816356132</v>
      </c>
      <c r="H102" s="63">
        <f>('Financial Statements'!C57-'Financial Statements'!D57)/'Financial Statements'!D57</f>
        <v>0.2793776540698712</v>
      </c>
    </row>
    <row r="103" spans="2:8" x14ac:dyDescent="0.3">
      <c r="B103" s="49" t="s">
        <v>75</v>
      </c>
      <c r="C103" s="49"/>
      <c r="D103" s="49"/>
      <c r="E103" s="49"/>
      <c r="F103" s="79"/>
      <c r="G103" s="80">
        <f>('Financial Statements'!B58-'Financial Statements'!C58)/'Financial Statements'!C58</f>
        <v>9.2270816639253225E-2</v>
      </c>
      <c r="H103" s="80">
        <f>('Financial Statements'!C58-'Financial Statements'!D58)/'Financial Statements'!D58</f>
        <v>0.12565573446215927</v>
      </c>
    </row>
    <row r="104" spans="2:8" x14ac:dyDescent="0.3">
      <c r="B104" s="9"/>
      <c r="C104" s="9"/>
      <c r="D104" s="9"/>
      <c r="E104" s="9"/>
    </row>
    <row r="105" spans="2:8" x14ac:dyDescent="0.3">
      <c r="B105" s="59" t="s">
        <v>76</v>
      </c>
      <c r="C105" s="9"/>
      <c r="D105" s="9"/>
      <c r="E105" s="9"/>
    </row>
    <row r="106" spans="2:8" x14ac:dyDescent="0.3">
      <c r="B106" s="1" t="s">
        <v>114</v>
      </c>
      <c r="C106" s="9"/>
      <c r="D106" s="9"/>
      <c r="E106" s="9"/>
      <c r="G106" s="71">
        <f>('Financial Statements'!B60-'Financial Statements'!C60)/'Financial Statements'!C60</f>
        <v>0.184702102691368</v>
      </c>
      <c r="H106" s="71">
        <f>('Financial Statements'!C60-'Financial Statements'!D60)/'Financial Statements'!D60</f>
        <v>0.50612812563381915</v>
      </c>
    </row>
    <row r="107" spans="2:8" x14ac:dyDescent="0.3">
      <c r="B107" s="1" t="s">
        <v>115</v>
      </c>
      <c r="C107" s="9"/>
      <c r="D107" s="9"/>
      <c r="E107" s="9"/>
      <c r="G107" s="71">
        <f>('Financial Statements'!B61-'Financial Statements'!C61)/'Financial Statements'!C61</f>
        <v>-0.27338864071474156</v>
      </c>
      <c r="H107" s="71">
        <f>('Financial Statements'!C61-'Financial Statements'!D61)/'Financial Statements'!D61</f>
        <v>-0.13233665559246954</v>
      </c>
    </row>
    <row r="108" spans="2:8" x14ac:dyDescent="0.3">
      <c r="B108" s="1" t="s">
        <v>117</v>
      </c>
      <c r="C108" s="9"/>
      <c r="D108" s="9"/>
      <c r="E108" s="9"/>
      <c r="G108" s="71">
        <f>('Financial Statements'!B62-'Financial Statements'!C62)/'Financial Statements'!C62</f>
        <v>0.37760544887575909</v>
      </c>
      <c r="H108" s="71">
        <f>('Financial Statements'!C62-'Financial Statements'!D62)/'Financial Statements'!D62</f>
        <v>0.53205934121196885</v>
      </c>
    </row>
    <row r="109" spans="2:8" x14ac:dyDescent="0.3">
      <c r="B109" s="5" t="s">
        <v>116</v>
      </c>
      <c r="C109" s="9"/>
      <c r="D109" s="9"/>
      <c r="E109" s="9"/>
      <c r="G109" s="71">
        <f>('Financial Statements'!B63-'Financial Statements'!C63)/'Financial Statements'!C63</f>
        <v>-0.10667005033202216</v>
      </c>
      <c r="H109" s="71">
        <f>('Financial Statements'!C63-'Financial Statements'!D63)/'Financial Statements'!D63</f>
        <v>0.38937533055180112</v>
      </c>
    </row>
    <row r="110" spans="2:8" x14ac:dyDescent="0.3">
      <c r="B110" s="22" t="s">
        <v>77</v>
      </c>
      <c r="C110" s="49"/>
      <c r="D110" s="49"/>
      <c r="E110" s="49"/>
      <c r="F110" s="79"/>
      <c r="G110" s="80">
        <f>('Financial Statements'!B64-'Financial Statements'!C64)/'Financial Statements'!C64</f>
        <v>0.15139462145988947</v>
      </c>
      <c r="H110" s="80">
        <f>('Financial Statements'!C64-'Financial Statements'!D64)/'Financial Statements'!D64</f>
        <v>0.38096365106601188</v>
      </c>
    </row>
    <row r="111" spans="2:8" x14ac:dyDescent="0.3">
      <c r="B111" s="21"/>
      <c r="C111" s="9"/>
      <c r="D111" s="9"/>
      <c r="E111" s="9"/>
    </row>
    <row r="112" spans="2:8" ht="15" thickBot="1" x14ac:dyDescent="0.35">
      <c r="B112" s="13" t="s">
        <v>78</v>
      </c>
      <c r="C112" s="13"/>
      <c r="D112" s="13"/>
      <c r="E112" s="13"/>
      <c r="F112" s="81"/>
      <c r="G112" s="82">
        <f>('Financial Statements'!B65-'Financial Statements'!C65)/'Financial Statements'!C65</f>
        <v>0.12159941056449784</v>
      </c>
      <c r="H112" s="82">
        <f>('Financial Statements'!C65-'Financial Statements'!D65)/'Financial Statements'!D65</f>
        <v>0.23931147411442946</v>
      </c>
    </row>
    <row r="113" spans="2:8" ht="15" thickTop="1" x14ac:dyDescent="0.3">
      <c r="B113" s="16"/>
      <c r="C113" s="9"/>
      <c r="D113" s="9"/>
      <c r="E113" s="9"/>
    </row>
    <row r="114" spans="2:8" x14ac:dyDescent="0.3">
      <c r="B114" s="11" t="s">
        <v>81</v>
      </c>
      <c r="C114" s="9"/>
      <c r="D114" s="9"/>
      <c r="E114" s="9"/>
      <c r="G114" s="70">
        <f>('Financial Statements'!B73-'Financial Statements'!C73)/'Financial Statements'!C73</f>
        <v>5.6407103331042714E-2</v>
      </c>
      <c r="H114" s="70">
        <f>('Financial Statements'!C73-'Financial Statements'!D73)/'Financial Statements'!D73</f>
        <v>0.48007579975161663</v>
      </c>
    </row>
    <row r="115" spans="2:8" ht="15" thickBot="1" x14ac:dyDescent="0.35">
      <c r="B115" s="13" t="s">
        <v>82</v>
      </c>
      <c r="C115" s="13"/>
      <c r="D115" s="13"/>
      <c r="E115" s="13"/>
      <c r="F115" s="81"/>
      <c r="G115" s="82">
        <f>('Financial Statements'!B74-'Financial Statements'!C74)/'Financial Statements'!C74</f>
        <v>0.10016906472254125</v>
      </c>
      <c r="H115" s="82">
        <f>('Financial Statements'!C74-'Financial Statements'!D74)/'Financial Statements'!D74</f>
        <v>0.30932611030682294</v>
      </c>
    </row>
    <row r="116" spans="2:8" ht="15" thickTop="1" x14ac:dyDescent="0.3">
      <c r="B116" s="16"/>
      <c r="C116" s="9"/>
      <c r="D116" s="9"/>
      <c r="E116" s="9"/>
    </row>
    <row r="117" spans="2:8" x14ac:dyDescent="0.3">
      <c r="B117" s="16"/>
      <c r="C117" s="9"/>
      <c r="D117" s="9"/>
      <c r="E117" s="9"/>
    </row>
    <row r="118" spans="2:8" x14ac:dyDescent="0.3">
      <c r="B118" s="1"/>
    </row>
    <row r="119" spans="2:8" x14ac:dyDescent="0.3">
      <c r="B119" s="21" t="s">
        <v>165</v>
      </c>
    </row>
    <row r="120" spans="2:8" x14ac:dyDescent="0.3">
      <c r="B120" s="1" t="s">
        <v>166</v>
      </c>
      <c r="G120" s="70">
        <f>'Financial Statements'!B8/'Financial Statements'!B7</f>
        <v>0.56194660134673713</v>
      </c>
      <c r="H120" s="70">
        <f>'Financial Statements'!C8/'Financial Statements'!C7</f>
        <v>0.57967485558360399</v>
      </c>
    </row>
    <row r="121" spans="2:8" x14ac:dyDescent="0.3">
      <c r="B121" s="1" t="s">
        <v>167</v>
      </c>
      <c r="G121" s="70">
        <f>'Financial Statements'!B9/'Financial Statements'!B7</f>
        <v>0.43805339865326287</v>
      </c>
      <c r="H121" s="70">
        <f>'Financial Statements'!C9/'Financial Statements'!C7</f>
        <v>0.42032514441639601</v>
      </c>
    </row>
    <row r="122" spans="2:8" x14ac:dyDescent="0.3">
      <c r="B122" s="21" t="s">
        <v>162</v>
      </c>
    </row>
    <row r="123" spans="2:8" x14ac:dyDescent="0.3">
      <c r="B123" s="23" t="s">
        <v>89</v>
      </c>
      <c r="G123" s="71">
        <f>'Financial Statements'!B10/'Financial Statements'!B7</f>
        <v>0.16401126107283703</v>
      </c>
      <c r="H123" s="71">
        <f>'Financial Statements'!C10/'Financial Statements'!C7</f>
        <v>0.15987118525739535</v>
      </c>
    </row>
    <row r="124" spans="2:8" x14ac:dyDescent="0.3">
      <c r="B124" s="35" t="s">
        <v>90</v>
      </c>
      <c r="G124" s="71">
        <f>'Financial Statements'!B11/'Financial Statements'!B7</f>
        <v>0.14244245432241923</v>
      </c>
      <c r="H124" s="71">
        <f>'Financial Statements'!C11/'Financial Statements'!C7</f>
        <v>0.11930475797216818</v>
      </c>
    </row>
    <row r="125" spans="2:8" x14ac:dyDescent="0.3">
      <c r="B125" s="23" t="s">
        <v>91</v>
      </c>
      <c r="G125" s="71">
        <f>'Financial Statements'!B12/'Financial Statements'!B7</f>
        <v>8.2177815219569517E-2</v>
      </c>
      <c r="H125" s="71">
        <f>'Financial Statements'!C12/'Financial Statements'!C7</f>
        <v>6.9283686161993263E-2</v>
      </c>
    </row>
    <row r="126" spans="2:8" x14ac:dyDescent="0.3">
      <c r="B126" s="23" t="s">
        <v>92</v>
      </c>
      <c r="G126" s="71">
        <f>'Financial Statements'!B13/'Financial Statements'!B7</f>
        <v>2.3135006410717866E-2</v>
      </c>
      <c r="H126" s="71">
        <f>'Financial Statements'!C13/'Financial Statements'!C7</f>
        <v>1.8779452643767215E-2</v>
      </c>
    </row>
    <row r="127" spans="2:8" x14ac:dyDescent="0.3">
      <c r="B127" s="23" t="s">
        <v>93</v>
      </c>
      <c r="G127" s="71">
        <f>'Financial Statements'!B14/'Financial Statements'!B7</f>
        <v>2.4572797154769712E-3</v>
      </c>
      <c r="H127" s="71">
        <f>'Financial Statements'!C14/'Financial Statements'!C7</f>
        <v>1.3196487180251244E-4</v>
      </c>
    </row>
    <row r="128" spans="2:8" x14ac:dyDescent="0.3">
      <c r="B128" s="77"/>
    </row>
    <row r="129" spans="2:14" x14ac:dyDescent="0.3">
      <c r="B129" s="21" t="s">
        <v>168</v>
      </c>
    </row>
    <row r="130" spans="2:14" x14ac:dyDescent="0.3">
      <c r="B130" s="1" t="s">
        <v>183</v>
      </c>
      <c r="G130" s="70">
        <f>-'Financial Statements'!B22/'Financial Statements'!B21</f>
        <v>0.54194743935309975</v>
      </c>
      <c r="H130" s="70">
        <f>-'Financial Statements'!C22/'Financial Statements'!C21</f>
        <v>0.12557993237398757</v>
      </c>
      <c r="I130" s="74"/>
      <c r="J130" s="74" t="s">
        <v>184</v>
      </c>
      <c r="K130" s="74"/>
      <c r="L130" s="74"/>
      <c r="M130" s="74"/>
      <c r="N130" s="74"/>
    </row>
    <row r="131" spans="2:14" x14ac:dyDescent="0.3">
      <c r="B131" s="1" t="s">
        <v>169</v>
      </c>
      <c r="G131" s="70">
        <f>-G135/'Financial Statements'!B7</f>
        <v>0.12382705264571008</v>
      </c>
      <c r="H131" s="70">
        <f>-H135/'Financial Statements'!C7</f>
        <v>0.12994921480901278</v>
      </c>
    </row>
    <row r="132" spans="2:14" x14ac:dyDescent="0.3">
      <c r="B132" s="1" t="s">
        <v>170</v>
      </c>
      <c r="G132" s="70">
        <f>-G135/G136</f>
        <v>0.34086709691240663</v>
      </c>
      <c r="H132" s="70">
        <f>-H135/H136</f>
        <v>0.38091227282085838</v>
      </c>
    </row>
    <row r="133" spans="2:14" x14ac:dyDescent="0.3">
      <c r="C133" s="1"/>
      <c r="G133" s="70"/>
      <c r="H133" s="70"/>
    </row>
    <row r="134" spans="2:14" x14ac:dyDescent="0.3">
      <c r="C134" s="73" t="s">
        <v>171</v>
      </c>
      <c r="D134" s="74"/>
      <c r="E134" s="74"/>
      <c r="F134" s="74"/>
    </row>
    <row r="135" spans="2:14" x14ac:dyDescent="0.3">
      <c r="C135" s="83" t="s">
        <v>172</v>
      </c>
      <c r="D135" s="84"/>
      <c r="E135" s="74"/>
      <c r="F135" s="74"/>
      <c r="G135" s="85">
        <v>-63645</v>
      </c>
      <c r="H135" s="85">
        <v>-61053</v>
      </c>
    </row>
    <row r="136" spans="2:14" x14ac:dyDescent="0.3">
      <c r="C136" s="83" t="s">
        <v>173</v>
      </c>
      <c r="D136" s="84"/>
      <c r="E136" s="74"/>
      <c r="F136" s="74"/>
      <c r="G136" s="86">
        <v>186715</v>
      </c>
      <c r="H136" s="86">
        <v>160281</v>
      </c>
    </row>
    <row r="137" spans="2:14" x14ac:dyDescent="0.3">
      <c r="C137" s="74"/>
      <c r="D137" s="74" t="s">
        <v>174</v>
      </c>
      <c r="E137" s="74"/>
      <c r="F137" s="74"/>
      <c r="G137" s="87">
        <f>'Financial Statements'!B21-'Financial Statements'!B18+'Financial Statements'!B22</f>
        <v>-352</v>
      </c>
      <c r="H137" s="87">
        <f>'Financial Statements'!C21-'Financial Statements'!C18+'Financial Statements'!C22</f>
        <v>35169</v>
      </c>
    </row>
    <row r="138" spans="2:14" x14ac:dyDescent="0.3">
      <c r="C138" s="74"/>
      <c r="D138" s="74" t="s">
        <v>175</v>
      </c>
      <c r="E138" s="74"/>
      <c r="F138" s="74"/>
      <c r="G138" s="74"/>
      <c r="H138" s="74"/>
    </row>
    <row r="139" spans="2:14" x14ac:dyDescent="0.3">
      <c r="C139" s="74"/>
      <c r="D139" s="74" t="s">
        <v>176</v>
      </c>
      <c r="E139" s="74"/>
      <c r="F139" s="74"/>
      <c r="G139" s="74"/>
      <c r="H139" s="74"/>
    </row>
  </sheetData>
  <mergeCells count="2">
    <mergeCell ref="C2:E2"/>
    <mergeCell ref="G55:H5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 Karunaratne</cp:lastModifiedBy>
  <dcterms:created xsi:type="dcterms:W3CDTF">2020-05-19T16:15:53Z</dcterms:created>
  <dcterms:modified xsi:type="dcterms:W3CDTF">2023-12-14T20:33:33Z</dcterms:modified>
</cp:coreProperties>
</file>