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Harsha\Desktop\Quill Capital Partners Investment Analysis Training\Mentoring Traing Program\Task 13\"/>
    </mc:Choice>
  </mc:AlternateContent>
  <xr:revisionPtr revIDLastSave="0" documentId="13_ncr:1_{B7088FCE-F0F8-455D-AF48-1E6BECEB2FFC}" xr6:coauthVersionLast="47" xr6:coauthVersionMax="47" xr10:uidLastSave="{00000000-0000-0000-0000-000000000000}"/>
  <bookViews>
    <workbookView xWindow="-108" yWindow="-108" windowWidth="23256" windowHeight="12456" xr2:uid="{00000000-000D-0000-FFFF-FFFF00000000}"/>
  </bookViews>
  <sheets>
    <sheet name="Sheet1" sheetId="2" r:id="rId1"/>
    <sheet name="Historicals" sheetId="1" r:id="rId2"/>
    <sheet name="Segmental forecast" sheetId="3" r:id="rId3"/>
    <sheet name="Three Statements" sheetId="4" r:id="rId4"/>
    <sheet name="Nike Reports &amp; Conference Data" sheetId="5" r:id="rId5"/>
    <sheet name="Forecasting Payout"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2" i="4" l="1"/>
  <c r="K72" i="4"/>
  <c r="L72" i="4"/>
  <c r="M72" i="4"/>
  <c r="J72" i="4"/>
  <c r="J70" i="4"/>
  <c r="K70" i="4"/>
  <c r="L70" i="4"/>
  <c r="M70" i="4"/>
  <c r="N70" i="4"/>
  <c r="K21" i="4"/>
  <c r="L21" i="4"/>
  <c r="M21" i="4"/>
  <c r="N21" i="4"/>
  <c r="J21" i="4"/>
  <c r="N67" i="4"/>
  <c r="M67" i="4"/>
  <c r="L67" i="4"/>
  <c r="K67" i="4"/>
  <c r="J67" i="4"/>
  <c r="K65" i="4"/>
  <c r="L65" i="4" s="1"/>
  <c r="M65" i="4" s="1"/>
  <c r="N65" i="4" s="1"/>
  <c r="J65" i="4"/>
  <c r="K63" i="4"/>
  <c r="L63" i="4"/>
  <c r="L64" i="4" s="1"/>
  <c r="M63" i="4"/>
  <c r="N63" i="4" s="1"/>
  <c r="N64" i="4" s="1"/>
  <c r="J63" i="4"/>
  <c r="J62" i="4"/>
  <c r="K62" i="4"/>
  <c r="L62" i="4"/>
  <c r="M62" i="4"/>
  <c r="N62" i="4"/>
  <c r="J64" i="4"/>
  <c r="J66" i="4" s="1"/>
  <c r="J68" i="4" s="1"/>
  <c r="J58" i="4"/>
  <c r="K58" i="4"/>
  <c r="L58" i="4"/>
  <c r="M58" i="4"/>
  <c r="N58" i="4"/>
  <c r="K56" i="4"/>
  <c r="L56" i="4"/>
  <c r="M56" i="4" s="1"/>
  <c r="N56" i="4" s="1"/>
  <c r="J56" i="4"/>
  <c r="K59" i="4"/>
  <c r="L59" i="4"/>
  <c r="M59" i="4" s="1"/>
  <c r="N59" i="4" s="1"/>
  <c r="J59" i="4"/>
  <c r="K57" i="4"/>
  <c r="L57" i="4"/>
  <c r="M57" i="4" s="1"/>
  <c r="N57" i="4" s="1"/>
  <c r="J57" i="4"/>
  <c r="J35" i="4"/>
  <c r="K35" i="4" s="1"/>
  <c r="L35" i="4" s="1"/>
  <c r="M35" i="4" s="1"/>
  <c r="N35" i="4" s="1"/>
  <c r="J29" i="4"/>
  <c r="K29" i="4" s="1"/>
  <c r="L29" i="4" s="1"/>
  <c r="M29" i="4" s="1"/>
  <c r="N29" i="4" s="1"/>
  <c r="C67" i="4"/>
  <c r="D67" i="4"/>
  <c r="E67" i="4"/>
  <c r="F67" i="4"/>
  <c r="G67" i="4"/>
  <c r="H67" i="4"/>
  <c r="I67" i="4"/>
  <c r="B67" i="4"/>
  <c r="C65" i="4"/>
  <c r="D65" i="4"/>
  <c r="E65" i="4"/>
  <c r="F65" i="4"/>
  <c r="G65" i="4"/>
  <c r="H65" i="4"/>
  <c r="I65" i="4"/>
  <c r="B65" i="4"/>
  <c r="K47" i="4"/>
  <c r="D62" i="4"/>
  <c r="D64" i="4" s="1"/>
  <c r="C57" i="4"/>
  <c r="D57" i="4"/>
  <c r="E57" i="4"/>
  <c r="F57" i="4"/>
  <c r="G57" i="4"/>
  <c r="H57" i="4"/>
  <c r="I57" i="4"/>
  <c r="I58" i="4"/>
  <c r="C56" i="4"/>
  <c r="D56" i="4"/>
  <c r="E56" i="4"/>
  <c r="F56" i="4"/>
  <c r="F58" i="4" s="1"/>
  <c r="G56" i="4"/>
  <c r="G58" i="4" s="1"/>
  <c r="H56" i="4"/>
  <c r="I56" i="4"/>
  <c r="B57" i="4"/>
  <c r="B58" i="4"/>
  <c r="C63" i="4"/>
  <c r="D63" i="4"/>
  <c r="E63" i="4"/>
  <c r="F63" i="4"/>
  <c r="G63" i="4"/>
  <c r="H63" i="4"/>
  <c r="I63" i="4"/>
  <c r="B63" i="4"/>
  <c r="B35" i="4"/>
  <c r="B33" i="4"/>
  <c r="B72" i="4" s="1"/>
  <c r="E60" i="4"/>
  <c r="C59" i="4"/>
  <c r="C64" i="4" s="1"/>
  <c r="D59" i="4"/>
  <c r="E59" i="4"/>
  <c r="F59" i="4"/>
  <c r="G60" i="4" s="1"/>
  <c r="G59" i="4"/>
  <c r="H59" i="4"/>
  <c r="H60" i="4" s="1"/>
  <c r="I59" i="4"/>
  <c r="I60" i="4" s="1"/>
  <c r="B59" i="4"/>
  <c r="B60" i="4" s="1"/>
  <c r="B56" i="4"/>
  <c r="J52" i="4"/>
  <c r="K52" i="4"/>
  <c r="L52" i="4"/>
  <c r="M52" i="4"/>
  <c r="N52" i="4"/>
  <c r="C52" i="4"/>
  <c r="D52" i="4"/>
  <c r="E52" i="4"/>
  <c r="F52" i="4"/>
  <c r="G52" i="4"/>
  <c r="H52" i="4"/>
  <c r="I52" i="4"/>
  <c r="B52" i="4"/>
  <c r="C61" i="4"/>
  <c r="D61" i="4"/>
  <c r="E61" i="4"/>
  <c r="F61" i="4"/>
  <c r="G61" i="4"/>
  <c r="H61" i="4"/>
  <c r="I61" i="4"/>
  <c r="B61" i="4"/>
  <c r="K13" i="4"/>
  <c r="L13" i="4" s="1"/>
  <c r="M13" i="4" s="1"/>
  <c r="N13" i="4" s="1"/>
  <c r="K19" i="4"/>
  <c r="L19" i="4" s="1"/>
  <c r="M19" i="4" s="1"/>
  <c r="N19" i="4" s="1"/>
  <c r="C35" i="4"/>
  <c r="D35" i="4"/>
  <c r="E35" i="4"/>
  <c r="F35" i="4"/>
  <c r="G35" i="4"/>
  <c r="H35" i="4"/>
  <c r="H43" i="4" s="1"/>
  <c r="I35" i="4"/>
  <c r="C42" i="4"/>
  <c r="D42" i="4"/>
  <c r="E42" i="4"/>
  <c r="F42" i="4"/>
  <c r="G42" i="4"/>
  <c r="H42" i="4"/>
  <c r="I42" i="4"/>
  <c r="J42" i="4" s="1"/>
  <c r="K42" i="4" s="1"/>
  <c r="L42" i="4" s="1"/>
  <c r="M42" i="4" s="1"/>
  <c r="N42" i="4" s="1"/>
  <c r="B42" i="4"/>
  <c r="C41" i="4"/>
  <c r="D41" i="4"/>
  <c r="E41" i="4"/>
  <c r="F41" i="4"/>
  <c r="G41" i="4"/>
  <c r="H41" i="4"/>
  <c r="I41" i="4"/>
  <c r="B41" i="4"/>
  <c r="C40" i="4"/>
  <c r="D40" i="4"/>
  <c r="E40" i="4"/>
  <c r="F40" i="4"/>
  <c r="G40" i="4"/>
  <c r="H40" i="4"/>
  <c r="I40" i="4"/>
  <c r="J40" i="4" s="1"/>
  <c r="K40" i="4" s="1"/>
  <c r="L40" i="4" s="1"/>
  <c r="M40" i="4" s="1"/>
  <c r="N40" i="4" s="1"/>
  <c r="B40" i="4"/>
  <c r="C38" i="4"/>
  <c r="D38" i="4"/>
  <c r="E38" i="4"/>
  <c r="F38" i="4"/>
  <c r="G38" i="4"/>
  <c r="H38" i="4"/>
  <c r="I38" i="4"/>
  <c r="J38" i="4" s="1"/>
  <c r="K38" i="4" s="1"/>
  <c r="L38" i="4" s="1"/>
  <c r="M38" i="4" s="1"/>
  <c r="N38" i="4" s="1"/>
  <c r="B38" i="4"/>
  <c r="C37" i="4"/>
  <c r="D37" i="4"/>
  <c r="E37" i="4"/>
  <c r="F37" i="4"/>
  <c r="G37" i="4"/>
  <c r="H37" i="4"/>
  <c r="I37" i="4"/>
  <c r="J37" i="4" s="1"/>
  <c r="K37" i="4" s="1"/>
  <c r="L37" i="4" s="1"/>
  <c r="M37" i="4" s="1"/>
  <c r="N37" i="4" s="1"/>
  <c r="B37" i="4"/>
  <c r="C36" i="4"/>
  <c r="C70" i="4" s="1"/>
  <c r="D36" i="4"/>
  <c r="E36" i="4"/>
  <c r="F36" i="4"/>
  <c r="F62" i="4" s="1"/>
  <c r="F64" i="4" s="1"/>
  <c r="G36" i="4"/>
  <c r="H36" i="4"/>
  <c r="I36" i="4"/>
  <c r="J36" i="4" s="1"/>
  <c r="K36" i="4" s="1"/>
  <c r="L36" i="4" s="1"/>
  <c r="M36" i="4" s="1"/>
  <c r="N36" i="4" s="1"/>
  <c r="B36" i="4"/>
  <c r="C34" i="4"/>
  <c r="C62" i="4" s="1"/>
  <c r="D34" i="4"/>
  <c r="D43" i="4" s="1"/>
  <c r="E34" i="4"/>
  <c r="F34" i="4"/>
  <c r="G34" i="4"/>
  <c r="H34" i="4"/>
  <c r="I34" i="4"/>
  <c r="B34" i="4"/>
  <c r="B70" i="4" s="1"/>
  <c r="C33" i="4"/>
  <c r="D33" i="4"/>
  <c r="D70" i="4" s="1"/>
  <c r="E33" i="4"/>
  <c r="E70" i="4" s="1"/>
  <c r="F33" i="4"/>
  <c r="G33" i="4"/>
  <c r="H33" i="4"/>
  <c r="H70" i="4" s="1"/>
  <c r="I33" i="4"/>
  <c r="I72" i="4" s="1"/>
  <c r="C30" i="4"/>
  <c r="D30" i="4"/>
  <c r="E30" i="4"/>
  <c r="F30" i="4"/>
  <c r="G30" i="4"/>
  <c r="H30" i="4"/>
  <c r="I30" i="4"/>
  <c r="J30" i="4" s="1"/>
  <c r="K30" i="4" s="1"/>
  <c r="L30" i="4" s="1"/>
  <c r="M30" i="4" s="1"/>
  <c r="N30" i="4" s="1"/>
  <c r="B30" i="4"/>
  <c r="C29" i="4"/>
  <c r="D29" i="4"/>
  <c r="E29" i="4"/>
  <c r="F29" i="4"/>
  <c r="G29" i="4"/>
  <c r="H29" i="4"/>
  <c r="I29" i="4"/>
  <c r="B29" i="4"/>
  <c r="C28" i="4"/>
  <c r="D28" i="4"/>
  <c r="E28" i="4"/>
  <c r="F28" i="4"/>
  <c r="G28" i="4"/>
  <c r="H28" i="4"/>
  <c r="I28" i="4"/>
  <c r="J28" i="4" s="1"/>
  <c r="K28" i="4" s="1"/>
  <c r="L28" i="4" s="1"/>
  <c r="M28" i="4" s="1"/>
  <c r="N28" i="4" s="1"/>
  <c r="B28" i="4"/>
  <c r="C27" i="4"/>
  <c r="D27" i="4"/>
  <c r="E27" i="4"/>
  <c r="F27" i="4"/>
  <c r="G27" i="4"/>
  <c r="H27" i="4"/>
  <c r="I27" i="4"/>
  <c r="J27" i="4" s="1"/>
  <c r="K27" i="4" s="1"/>
  <c r="L27" i="4" s="1"/>
  <c r="M27" i="4" s="1"/>
  <c r="N27" i="4" s="1"/>
  <c r="B27" i="4"/>
  <c r="C26" i="4"/>
  <c r="D26" i="4"/>
  <c r="E26" i="4"/>
  <c r="F26" i="4"/>
  <c r="G26" i="4"/>
  <c r="H26" i="4"/>
  <c r="I26" i="4"/>
  <c r="B26" i="4"/>
  <c r="C25" i="4"/>
  <c r="C31" i="4" s="1"/>
  <c r="D25" i="4"/>
  <c r="E25" i="4"/>
  <c r="F25" i="4"/>
  <c r="F31" i="4" s="1"/>
  <c r="G25" i="4"/>
  <c r="H25" i="4"/>
  <c r="I25" i="4"/>
  <c r="I31" i="4" s="1"/>
  <c r="B25" i="4"/>
  <c r="C22" i="4"/>
  <c r="D22" i="4"/>
  <c r="E22" i="4"/>
  <c r="F22" i="4"/>
  <c r="G22" i="4"/>
  <c r="H22" i="4"/>
  <c r="I22" i="4"/>
  <c r="J22" i="4" s="1"/>
  <c r="K22" i="4" s="1"/>
  <c r="L22" i="4" s="1"/>
  <c r="M22" i="4" s="1"/>
  <c r="N22" i="4" s="1"/>
  <c r="B22" i="4"/>
  <c r="C21" i="4"/>
  <c r="D21" i="4"/>
  <c r="E21" i="4"/>
  <c r="F21" i="4"/>
  <c r="G21" i="4"/>
  <c r="H21" i="4"/>
  <c r="I21" i="4"/>
  <c r="B21" i="4"/>
  <c r="C48" i="4"/>
  <c r="D48" i="4"/>
  <c r="E48" i="4"/>
  <c r="F48" i="4"/>
  <c r="G48" i="4"/>
  <c r="H48" i="4"/>
  <c r="I48" i="4"/>
  <c r="B48" i="4"/>
  <c r="H50" i="4"/>
  <c r="I50" i="4"/>
  <c r="C50" i="4"/>
  <c r="D50" i="4"/>
  <c r="E50" i="4"/>
  <c r="F50" i="4"/>
  <c r="G50" i="4"/>
  <c r="B50" i="4"/>
  <c r="J23" i="4"/>
  <c r="C23" i="4"/>
  <c r="D51" i="4" s="1"/>
  <c r="D23" i="4"/>
  <c r="E51" i="4" s="1"/>
  <c r="E23" i="4"/>
  <c r="F51" i="4" s="1"/>
  <c r="F23" i="4"/>
  <c r="G51" i="4" s="1"/>
  <c r="G23" i="4"/>
  <c r="H51" i="4" s="1"/>
  <c r="H23" i="4"/>
  <c r="I51" i="4" s="1"/>
  <c r="I23" i="4"/>
  <c r="J51" i="4" s="1"/>
  <c r="B23" i="4"/>
  <c r="B51" i="4" s="1"/>
  <c r="J13" i="3"/>
  <c r="K13" i="3"/>
  <c r="L13" i="3"/>
  <c r="M13" i="3"/>
  <c r="N13" i="3"/>
  <c r="J12" i="3"/>
  <c r="K12" i="3"/>
  <c r="L12" i="3"/>
  <c r="M12" i="3"/>
  <c r="N12" i="3"/>
  <c r="J6" i="4"/>
  <c r="J47" i="4" s="1"/>
  <c r="K6" i="4"/>
  <c r="L6" i="4"/>
  <c r="L47" i="4" s="1"/>
  <c r="M6" i="4"/>
  <c r="M47" i="4" s="1"/>
  <c r="N6" i="4"/>
  <c r="J5" i="4"/>
  <c r="K5" i="4"/>
  <c r="K7" i="4" s="1"/>
  <c r="K46" i="4" s="1"/>
  <c r="L5" i="4"/>
  <c r="L7" i="4" s="1"/>
  <c r="L46" i="4" s="1"/>
  <c r="M5" i="4"/>
  <c r="N5" i="4"/>
  <c r="J3" i="4"/>
  <c r="K3" i="4"/>
  <c r="K4" i="4" s="1"/>
  <c r="L3" i="4"/>
  <c r="L23" i="4" s="1"/>
  <c r="M51" i="4" s="1"/>
  <c r="M3" i="4"/>
  <c r="M23" i="4" s="1"/>
  <c r="N3" i="4"/>
  <c r="N4" i="4" s="1"/>
  <c r="L200" i="3"/>
  <c r="M200" i="3"/>
  <c r="N200" i="3"/>
  <c r="K200" i="3"/>
  <c r="J200" i="3"/>
  <c r="G59" i="5"/>
  <c r="G60" i="5"/>
  <c r="G61" i="5"/>
  <c r="G62" i="5"/>
  <c r="G63" i="5"/>
  <c r="G64" i="5"/>
  <c r="G65" i="5"/>
  <c r="G66" i="5"/>
  <c r="G67" i="5"/>
  <c r="G68" i="5"/>
  <c r="G69" i="5"/>
  <c r="G72" i="5"/>
  <c r="G73" i="5"/>
  <c r="G74" i="5"/>
  <c r="G75" i="5"/>
  <c r="G76" i="5"/>
  <c r="G77" i="5"/>
  <c r="G78" i="5"/>
  <c r="G79" i="5"/>
  <c r="G80" i="5"/>
  <c r="G81" i="5"/>
  <c r="G83" i="5"/>
  <c r="G84" i="5"/>
  <c r="G58" i="5"/>
  <c r="D45" i="5"/>
  <c r="D47" i="5" s="1"/>
  <c r="C45" i="5"/>
  <c r="C47" i="5" s="1"/>
  <c r="C10" i="9"/>
  <c r="C11" i="9"/>
  <c r="C12" i="9"/>
  <c r="C13" i="9"/>
  <c r="C14" i="9"/>
  <c r="J69" i="4" l="1"/>
  <c r="N66" i="4"/>
  <c r="N68" i="4" s="1"/>
  <c r="N69" i="4" s="1"/>
  <c r="L66" i="4"/>
  <c r="L68" i="4" s="1"/>
  <c r="L69" i="4" s="1"/>
  <c r="K64" i="4"/>
  <c r="K66" i="4" s="1"/>
  <c r="K68" i="4" s="1"/>
  <c r="K69" i="4" s="1"/>
  <c r="M64" i="4"/>
  <c r="M66" i="4" s="1"/>
  <c r="M68" i="4" s="1"/>
  <c r="M69" i="4" s="1"/>
  <c r="F44" i="4"/>
  <c r="G73" i="4"/>
  <c r="D73" i="4"/>
  <c r="J26" i="4"/>
  <c r="K26" i="4" s="1"/>
  <c r="L26" i="4" s="1"/>
  <c r="M26" i="4" s="1"/>
  <c r="J50" i="4"/>
  <c r="I73" i="4"/>
  <c r="J7" i="4"/>
  <c r="K8" i="4" s="1"/>
  <c r="G70" i="4"/>
  <c r="G72" i="4"/>
  <c r="N7" i="4"/>
  <c r="N23" i="4"/>
  <c r="N51" i="4" s="1"/>
  <c r="G31" i="4"/>
  <c r="F70" i="4"/>
  <c r="F72" i="4"/>
  <c r="F73" i="4" s="1"/>
  <c r="F60" i="4"/>
  <c r="E62" i="4"/>
  <c r="E64" i="4" s="1"/>
  <c r="D60" i="4"/>
  <c r="E72" i="4"/>
  <c r="E73" i="4" s="1"/>
  <c r="I64" i="4"/>
  <c r="E31" i="4"/>
  <c r="G43" i="4"/>
  <c r="D72" i="4"/>
  <c r="D31" i="4"/>
  <c r="D44" i="4" s="1"/>
  <c r="C43" i="4"/>
  <c r="C44" i="4" s="1"/>
  <c r="C72" i="4"/>
  <c r="C73" i="4" s="1"/>
  <c r="C60" i="4"/>
  <c r="J33" i="4"/>
  <c r="N47" i="4"/>
  <c r="J25" i="4"/>
  <c r="E43" i="4"/>
  <c r="I70" i="4"/>
  <c r="B62" i="4"/>
  <c r="B64" i="4" s="1"/>
  <c r="C51" i="4"/>
  <c r="J34" i="4"/>
  <c r="K34" i="4" s="1"/>
  <c r="L34" i="4" s="1"/>
  <c r="M34" i="4" s="1"/>
  <c r="N34" i="4" s="1"/>
  <c r="M7" i="4"/>
  <c r="I62" i="4"/>
  <c r="B31" i="4"/>
  <c r="B73" i="4"/>
  <c r="H62" i="4"/>
  <c r="H64" i="4" s="1"/>
  <c r="H72" i="4"/>
  <c r="H73" i="4" s="1"/>
  <c r="E58" i="4"/>
  <c r="G62" i="4"/>
  <c r="G64" i="4" s="1"/>
  <c r="H31" i="4"/>
  <c r="H44" i="4" s="1"/>
  <c r="D58" i="4"/>
  <c r="C58" i="4"/>
  <c r="H58" i="4"/>
  <c r="J9" i="4"/>
  <c r="M8" i="4"/>
  <c r="M9" i="4"/>
  <c r="L9" i="4"/>
  <c r="L8" i="4"/>
  <c r="K9" i="4"/>
  <c r="N9" i="4"/>
  <c r="N8" i="4"/>
  <c r="I43" i="4"/>
  <c r="I44" i="4" s="1"/>
  <c r="F43" i="4"/>
  <c r="L4" i="4"/>
  <c r="M4" i="4"/>
  <c r="K23" i="4"/>
  <c r="B43" i="4"/>
  <c r="B44" i="4" s="1"/>
  <c r="D14" i="9"/>
  <c r="E14" i="9"/>
  <c r="D13" i="9"/>
  <c r="D12" i="9"/>
  <c r="D11" i="9"/>
  <c r="D10" i="9"/>
  <c r="E13" i="9"/>
  <c r="E10" i="9"/>
  <c r="E12" i="9"/>
  <c r="E11" i="9"/>
  <c r="K51" i="4" l="1"/>
  <c r="L51" i="4"/>
  <c r="E44" i="4"/>
  <c r="N26" i="4"/>
  <c r="G44" i="4"/>
  <c r="K25" i="4"/>
  <c r="J31" i="4"/>
  <c r="J46" i="4"/>
  <c r="K33" i="4"/>
  <c r="J10" i="4"/>
  <c r="J11" i="4" s="1"/>
  <c r="K50" i="4"/>
  <c r="M46" i="4"/>
  <c r="N46" i="4"/>
  <c r="J12" i="4" l="1"/>
  <c r="J48" i="4" s="1"/>
  <c r="J14" i="4"/>
  <c r="L25" i="4"/>
  <c r="K31" i="4"/>
  <c r="L33" i="4"/>
  <c r="J49" i="4"/>
  <c r="J53" i="4" s="1"/>
  <c r="J55" i="4" s="1"/>
  <c r="L50" i="4"/>
  <c r="K10" i="4"/>
  <c r="K11" i="4" s="1"/>
  <c r="M50" i="4" l="1"/>
  <c r="L10" i="4"/>
  <c r="L11" i="4" s="1"/>
  <c r="K12" i="4"/>
  <c r="K48" i="4" s="1"/>
  <c r="K49" i="4" s="1"/>
  <c r="K53" i="4" s="1"/>
  <c r="K55" i="4" s="1"/>
  <c r="K14" i="4"/>
  <c r="M33" i="4"/>
  <c r="M25" i="4"/>
  <c r="L31" i="4"/>
  <c r="N25" i="4" l="1"/>
  <c r="N31" i="4" s="1"/>
  <c r="M31" i="4"/>
  <c r="N33" i="4"/>
  <c r="L12" i="4"/>
  <c r="L48" i="4" s="1"/>
  <c r="L49" i="4" s="1"/>
  <c r="L53" i="4" s="1"/>
  <c r="L55" i="4" s="1"/>
  <c r="L14" i="4"/>
  <c r="N50" i="4"/>
  <c r="N10" i="4" s="1"/>
  <c r="N11" i="4" s="1"/>
  <c r="M10" i="4"/>
  <c r="M11" i="4" s="1"/>
  <c r="N12" i="4" l="1"/>
  <c r="N48" i="4" s="1"/>
  <c r="N49" i="4" s="1"/>
  <c r="N53" i="4" s="1"/>
  <c r="N55" i="4" s="1"/>
  <c r="N14" i="4"/>
  <c r="M12" i="4"/>
  <c r="M48" i="4" s="1"/>
  <c r="M49" i="4" s="1"/>
  <c r="M53" i="4" s="1"/>
  <c r="M55" i="4" s="1"/>
  <c r="M14" i="4" l="1"/>
  <c r="J216" i="3" l="1"/>
  <c r="K216" i="3" s="1"/>
  <c r="L216" i="3" s="1"/>
  <c r="M216" i="3" s="1"/>
  <c r="N216" i="3" s="1"/>
  <c r="I207" i="3"/>
  <c r="J207" i="3" s="1"/>
  <c r="K207" i="3" s="1"/>
  <c r="L207" i="3" s="1"/>
  <c r="M207" i="3" s="1"/>
  <c r="N207" i="3" s="1"/>
  <c r="J203" i="3"/>
  <c r="K203" i="3"/>
  <c r="L203" i="3" s="1"/>
  <c r="M203" i="3" s="1"/>
  <c r="N203" i="3" s="1"/>
  <c r="J197" i="3"/>
  <c r="K197" i="3"/>
  <c r="L197" i="3" s="1"/>
  <c r="M197" i="3" s="1"/>
  <c r="N197" i="3" s="1"/>
  <c r="J194" i="3"/>
  <c r="K194" i="3" s="1"/>
  <c r="L194" i="3" s="1"/>
  <c r="M194" i="3" s="1"/>
  <c r="N194" i="3" s="1"/>
  <c r="J188" i="3"/>
  <c r="K188" i="3"/>
  <c r="L188" i="3"/>
  <c r="M188" i="3" s="1"/>
  <c r="N188" i="3" s="1"/>
  <c r="J177" i="3"/>
  <c r="K177" i="3"/>
  <c r="L177" i="3"/>
  <c r="M177" i="3"/>
  <c r="N177" i="3"/>
  <c r="J175" i="3"/>
  <c r="K175" i="3"/>
  <c r="L175" i="3"/>
  <c r="M175" i="3"/>
  <c r="N175" i="3" s="1"/>
  <c r="J172" i="3"/>
  <c r="K172" i="3"/>
  <c r="L172" i="3"/>
  <c r="M172" i="3"/>
  <c r="N172" i="3"/>
  <c r="J171" i="3"/>
  <c r="K171" i="3"/>
  <c r="L171" i="3"/>
  <c r="M171" i="3"/>
  <c r="N171" i="3"/>
  <c r="J168" i="3"/>
  <c r="K168" i="3"/>
  <c r="L168" i="3"/>
  <c r="M168" i="3"/>
  <c r="N168" i="3"/>
  <c r="J167" i="3"/>
  <c r="K167" i="3"/>
  <c r="L167" i="3"/>
  <c r="M167" i="3"/>
  <c r="N167" i="3"/>
  <c r="J164" i="3"/>
  <c r="K164" i="3"/>
  <c r="L164" i="3"/>
  <c r="M164" i="3"/>
  <c r="N164" i="3"/>
  <c r="J161" i="3"/>
  <c r="J157" i="3"/>
  <c r="J153" i="3"/>
  <c r="K149" i="3"/>
  <c r="L149" i="3" s="1"/>
  <c r="M149" i="3" s="1"/>
  <c r="N149" i="3" s="1"/>
  <c r="J149" i="3"/>
  <c r="J142" i="3"/>
  <c r="K142" i="3"/>
  <c r="L142" i="3"/>
  <c r="M142" i="3"/>
  <c r="N142" i="3"/>
  <c r="I139" i="3"/>
  <c r="J139" i="3"/>
  <c r="K139" i="3"/>
  <c r="L139" i="3"/>
  <c r="M139" i="3"/>
  <c r="N139" i="3"/>
  <c r="J137" i="3"/>
  <c r="K137" i="3"/>
  <c r="L137" i="3"/>
  <c r="M137" i="3"/>
  <c r="N137" i="3"/>
  <c r="J136" i="3"/>
  <c r="K136" i="3"/>
  <c r="L136" i="3"/>
  <c r="M136" i="3"/>
  <c r="N136" i="3"/>
  <c r="J133" i="3"/>
  <c r="K133" i="3"/>
  <c r="L133" i="3"/>
  <c r="M133" i="3"/>
  <c r="N133" i="3"/>
  <c r="J132" i="3"/>
  <c r="K132" i="3"/>
  <c r="L132" i="3"/>
  <c r="M132" i="3"/>
  <c r="N132" i="3"/>
  <c r="J129" i="3"/>
  <c r="K129" i="3"/>
  <c r="L129" i="3"/>
  <c r="M129" i="3"/>
  <c r="N129" i="3"/>
  <c r="J126" i="3"/>
  <c r="J122" i="3"/>
  <c r="J118" i="3"/>
  <c r="J111" i="3"/>
  <c r="K111" i="3"/>
  <c r="L111" i="3"/>
  <c r="M111" i="3"/>
  <c r="N111" i="3"/>
  <c r="J109" i="3"/>
  <c r="K109" i="3"/>
  <c r="L109" i="3"/>
  <c r="M109" i="3"/>
  <c r="N109" i="3"/>
  <c r="J106" i="3"/>
  <c r="K106" i="3"/>
  <c r="L106" i="3"/>
  <c r="M106" i="3"/>
  <c r="N106" i="3"/>
  <c r="J105" i="3"/>
  <c r="K105" i="3"/>
  <c r="L105" i="3"/>
  <c r="M105" i="3"/>
  <c r="N105" i="3"/>
  <c r="J102" i="3"/>
  <c r="K102" i="3"/>
  <c r="L102" i="3"/>
  <c r="M102" i="3"/>
  <c r="N102" i="3"/>
  <c r="J101" i="3"/>
  <c r="K101" i="3"/>
  <c r="L101" i="3"/>
  <c r="M101" i="3"/>
  <c r="N101" i="3"/>
  <c r="K98" i="3"/>
  <c r="L98" i="3"/>
  <c r="M98" i="3"/>
  <c r="N98" i="3"/>
  <c r="K94" i="3"/>
  <c r="L94" i="3"/>
  <c r="M94" i="3"/>
  <c r="N94" i="3"/>
  <c r="J80" i="3"/>
  <c r="K80" i="3"/>
  <c r="L80" i="3"/>
  <c r="M80" i="3"/>
  <c r="N80" i="3"/>
  <c r="J78" i="3"/>
  <c r="K78" i="3"/>
  <c r="L78" i="3" s="1"/>
  <c r="M78" i="3" s="1"/>
  <c r="N78" i="3" s="1"/>
  <c r="K75" i="3"/>
  <c r="L75" i="3"/>
  <c r="M75" i="3"/>
  <c r="N75" i="3"/>
  <c r="J74" i="3"/>
  <c r="K74" i="3"/>
  <c r="L74" i="3"/>
  <c r="M74" i="3"/>
  <c r="N74" i="3"/>
  <c r="J71" i="3"/>
  <c r="K71" i="3"/>
  <c r="L71" i="3"/>
  <c r="M71" i="3"/>
  <c r="N71" i="3"/>
  <c r="J70" i="3"/>
  <c r="K70" i="3"/>
  <c r="L70" i="3"/>
  <c r="M70" i="3"/>
  <c r="N70" i="3"/>
  <c r="J49" i="3"/>
  <c r="K49" i="3"/>
  <c r="L49" i="3"/>
  <c r="M49" i="3"/>
  <c r="N49" i="3"/>
  <c r="J112" i="3"/>
  <c r="K112" i="3"/>
  <c r="L112" i="3"/>
  <c r="M112" i="3"/>
  <c r="N112" i="3" s="1"/>
  <c r="J98" i="3"/>
  <c r="J95" i="3"/>
  <c r="J91" i="3"/>
  <c r="J87" i="3"/>
  <c r="J75" i="3"/>
  <c r="J64" i="3"/>
  <c r="K60" i="3"/>
  <c r="L60" i="3"/>
  <c r="M60" i="3" s="1"/>
  <c r="N60" i="3" s="1"/>
  <c r="J60" i="3"/>
  <c r="K56" i="3"/>
  <c r="L56" i="3" s="1"/>
  <c r="M56" i="3" s="1"/>
  <c r="N56" i="3" s="1"/>
  <c r="J56" i="3"/>
  <c r="K50" i="3"/>
  <c r="L50" i="3"/>
  <c r="M50" i="3"/>
  <c r="N50" i="3"/>
  <c r="K33" i="3"/>
  <c r="L33" i="3"/>
  <c r="M33" i="3" s="1"/>
  <c r="N33" i="3" s="1"/>
  <c r="J33" i="3"/>
  <c r="K29" i="3"/>
  <c r="L29" i="3"/>
  <c r="M29" i="3"/>
  <c r="N29" i="3"/>
  <c r="J29" i="3"/>
  <c r="K25" i="3"/>
  <c r="L25" i="3" s="1"/>
  <c r="M25" i="3" s="1"/>
  <c r="N25" i="3" s="1"/>
  <c r="J25" i="3"/>
  <c r="H11" i="3" l="1"/>
  <c r="I23" i="3"/>
  <c r="I22" i="3"/>
  <c r="G17" i="4"/>
  <c r="C15" i="4"/>
  <c r="C17" i="4" s="1"/>
  <c r="D15" i="4"/>
  <c r="D17" i="4" s="1"/>
  <c r="D18" i="4" s="1"/>
  <c r="E15" i="4"/>
  <c r="E17" i="4" s="1"/>
  <c r="F15" i="4"/>
  <c r="F17" i="4" s="1"/>
  <c r="G15" i="4"/>
  <c r="H15" i="4"/>
  <c r="H17" i="4" s="1"/>
  <c r="I15" i="4"/>
  <c r="J15" i="4" s="1"/>
  <c r="B15" i="4"/>
  <c r="C5" i="3"/>
  <c r="D5" i="3"/>
  <c r="E5" i="3"/>
  <c r="F5" i="3"/>
  <c r="G5" i="3"/>
  <c r="H5" i="3"/>
  <c r="I5" i="3"/>
  <c r="B5" i="3"/>
  <c r="C12" i="4"/>
  <c r="D12" i="4"/>
  <c r="E12" i="4"/>
  <c r="F12" i="4"/>
  <c r="G12" i="4"/>
  <c r="H12" i="4"/>
  <c r="I12" i="4"/>
  <c r="C10" i="4"/>
  <c r="D10" i="4"/>
  <c r="E10" i="4"/>
  <c r="F10" i="4"/>
  <c r="G10" i="4"/>
  <c r="H10" i="4"/>
  <c r="I10" i="4"/>
  <c r="B10" i="4"/>
  <c r="B12" i="4"/>
  <c r="C6" i="4"/>
  <c r="C47" i="4" s="1"/>
  <c r="D6" i="4"/>
  <c r="D47" i="4" s="1"/>
  <c r="E6" i="4"/>
  <c r="E47" i="4" s="1"/>
  <c r="F6" i="4"/>
  <c r="F47" i="4" s="1"/>
  <c r="G6" i="4"/>
  <c r="G47" i="4" s="1"/>
  <c r="H6" i="4"/>
  <c r="H47" i="4" s="1"/>
  <c r="I6" i="4"/>
  <c r="I47" i="4" s="1"/>
  <c r="B6" i="4"/>
  <c r="B47" i="4" s="1"/>
  <c r="G18" i="4" l="1"/>
  <c r="K15" i="4"/>
  <c r="J16" i="4"/>
  <c r="J17" i="4"/>
  <c r="H18" i="4"/>
  <c r="F18" i="4"/>
  <c r="I17" i="4"/>
  <c r="E18" i="4"/>
  <c r="B17" i="4"/>
  <c r="C5" i="4"/>
  <c r="C7" i="4" s="1"/>
  <c r="D5" i="4"/>
  <c r="D7" i="4" s="1"/>
  <c r="E5" i="4"/>
  <c r="E7" i="4" s="1"/>
  <c r="F5" i="4"/>
  <c r="F7" i="4" s="1"/>
  <c r="G5" i="4"/>
  <c r="G7" i="4" s="1"/>
  <c r="H5" i="4"/>
  <c r="H7" i="4" s="1"/>
  <c r="I5" i="4"/>
  <c r="I7" i="4" s="1"/>
  <c r="I46" i="4" s="1"/>
  <c r="I49" i="4" s="1"/>
  <c r="I53" i="4" s="1"/>
  <c r="I55" i="4" s="1"/>
  <c r="I66" i="4" s="1"/>
  <c r="I68" i="4" s="1"/>
  <c r="I69" i="4" s="1"/>
  <c r="B5" i="4"/>
  <c r="B7" i="4" s="1"/>
  <c r="B46" i="4" s="1"/>
  <c r="B49" i="4" s="1"/>
  <c r="B53" i="4" s="1"/>
  <c r="B55" i="4" s="1"/>
  <c r="B66" i="4" s="1"/>
  <c r="B68" i="4" s="1"/>
  <c r="B69" i="4" s="1"/>
  <c r="I4" i="4"/>
  <c r="B4" i="4"/>
  <c r="C3" i="4"/>
  <c r="C24" i="4" s="1"/>
  <c r="D3" i="4"/>
  <c r="D24" i="4" s="1"/>
  <c r="E3" i="4"/>
  <c r="E24" i="4" s="1"/>
  <c r="F3" i="4"/>
  <c r="F24" i="4" s="1"/>
  <c r="G3" i="4"/>
  <c r="G24" i="4" s="1"/>
  <c r="H3" i="4"/>
  <c r="H24" i="4" s="1"/>
  <c r="I3" i="4"/>
  <c r="B3" i="4"/>
  <c r="B24" i="4" s="1"/>
  <c r="C17" i="3"/>
  <c r="D17" i="3"/>
  <c r="E17" i="3"/>
  <c r="F17" i="3"/>
  <c r="G17" i="3"/>
  <c r="H17" i="3"/>
  <c r="I17" i="3"/>
  <c r="B17" i="3"/>
  <c r="C14" i="3"/>
  <c r="D14" i="3"/>
  <c r="E14" i="3"/>
  <c r="F14" i="3"/>
  <c r="G14" i="3"/>
  <c r="H14" i="3"/>
  <c r="I14" i="3"/>
  <c r="B14" i="3"/>
  <c r="C11" i="3"/>
  <c r="D11" i="3"/>
  <c r="E11" i="3"/>
  <c r="F11" i="3"/>
  <c r="G11" i="3"/>
  <c r="I11" i="3"/>
  <c r="B11" i="3"/>
  <c r="C8" i="3"/>
  <c r="D8" i="3"/>
  <c r="E8" i="3"/>
  <c r="F8" i="3"/>
  <c r="G8" i="3"/>
  <c r="H8" i="3"/>
  <c r="I8" i="3"/>
  <c r="B8" i="3"/>
  <c r="C3" i="3"/>
  <c r="D3" i="3"/>
  <c r="E3" i="3"/>
  <c r="F3" i="3"/>
  <c r="G3" i="3"/>
  <c r="H3" i="3"/>
  <c r="I3" i="3"/>
  <c r="B3" i="3"/>
  <c r="C199" i="3"/>
  <c r="C200" i="3" s="1"/>
  <c r="D199" i="3"/>
  <c r="E199" i="3"/>
  <c r="F199" i="3"/>
  <c r="G199" i="3"/>
  <c r="H199" i="3"/>
  <c r="I199" i="3"/>
  <c r="D200" i="3"/>
  <c r="E200" i="3"/>
  <c r="F200" i="3"/>
  <c r="G200" i="3"/>
  <c r="H200" i="3"/>
  <c r="I200" i="3"/>
  <c r="I201" i="3"/>
  <c r="C204" i="3"/>
  <c r="C206" i="3" s="1"/>
  <c r="D204" i="3"/>
  <c r="D206" i="3" s="1"/>
  <c r="E204" i="3"/>
  <c r="E206" i="3" s="1"/>
  <c r="F204" i="3"/>
  <c r="G204" i="3"/>
  <c r="H204" i="3"/>
  <c r="I204" i="3"/>
  <c r="E205" i="3"/>
  <c r="F205" i="3"/>
  <c r="G205" i="3"/>
  <c r="H205" i="3"/>
  <c r="I205" i="3"/>
  <c r="F206" i="3"/>
  <c r="G206" i="3"/>
  <c r="H206" i="3"/>
  <c r="I206" i="3"/>
  <c r="F207" i="3"/>
  <c r="C208" i="3"/>
  <c r="C201" i="3" s="1"/>
  <c r="D208" i="3"/>
  <c r="D201" i="3" s="1"/>
  <c r="E208" i="3"/>
  <c r="E201" i="3" s="1"/>
  <c r="F208" i="3"/>
  <c r="F201" i="3" s="1"/>
  <c r="G208" i="3"/>
  <c r="G201" i="3" s="1"/>
  <c r="H208" i="3"/>
  <c r="H209" i="3" s="1"/>
  <c r="I208" i="3"/>
  <c r="I209" i="3" s="1"/>
  <c r="C209" i="3"/>
  <c r="D209" i="3"/>
  <c r="E209" i="3"/>
  <c r="F209" i="3"/>
  <c r="G209" i="3"/>
  <c r="C210" i="3"/>
  <c r="D210" i="3"/>
  <c r="E210" i="3"/>
  <c r="F210" i="3"/>
  <c r="G210" i="3"/>
  <c r="I210" i="3"/>
  <c r="C211" i="3"/>
  <c r="C212" i="3" s="1"/>
  <c r="D211" i="3"/>
  <c r="E211" i="3"/>
  <c r="F211" i="3"/>
  <c r="G211" i="3"/>
  <c r="H211" i="3"/>
  <c r="I211" i="3"/>
  <c r="D212" i="3"/>
  <c r="E212" i="3"/>
  <c r="F212" i="3"/>
  <c r="G212" i="3"/>
  <c r="H212" i="3"/>
  <c r="I212" i="3"/>
  <c r="C213" i="3"/>
  <c r="D213" i="3"/>
  <c r="E213" i="3"/>
  <c r="F213" i="3"/>
  <c r="G213" i="3"/>
  <c r="H213" i="3"/>
  <c r="I213" i="3"/>
  <c r="J213" i="3" s="1"/>
  <c r="K213" i="3" s="1"/>
  <c r="L213" i="3" s="1"/>
  <c r="M213" i="3" s="1"/>
  <c r="N213" i="3" s="1"/>
  <c r="C214" i="3"/>
  <c r="C215" i="3" s="1"/>
  <c r="D214" i="3"/>
  <c r="D216" i="3" s="1"/>
  <c r="E214" i="3"/>
  <c r="E216" i="3" s="1"/>
  <c r="F214" i="3"/>
  <c r="F215" i="3" s="1"/>
  <c r="G214" i="3"/>
  <c r="G207" i="3" s="1"/>
  <c r="H214" i="3"/>
  <c r="H207" i="3" s="1"/>
  <c r="I214" i="3"/>
  <c r="G215" i="3"/>
  <c r="H215" i="3"/>
  <c r="I215" i="3"/>
  <c r="C216" i="3"/>
  <c r="F216" i="3"/>
  <c r="G216" i="3"/>
  <c r="H216" i="3"/>
  <c r="I216" i="3"/>
  <c r="B214" i="3"/>
  <c r="B207" i="3" s="1"/>
  <c r="B211" i="3"/>
  <c r="B213" i="3" s="1"/>
  <c r="B208" i="3"/>
  <c r="B204" i="3"/>
  <c r="B199" i="3"/>
  <c r="B206" i="3" s="1"/>
  <c r="B215" i="3"/>
  <c r="B201" i="3"/>
  <c r="C180" i="3"/>
  <c r="D180" i="3"/>
  <c r="E180" i="3"/>
  <c r="E191" i="3" s="1"/>
  <c r="F180" i="3"/>
  <c r="G180" i="3"/>
  <c r="H180" i="3"/>
  <c r="I180" i="3"/>
  <c r="C181" i="3"/>
  <c r="D181" i="3"/>
  <c r="F181" i="3"/>
  <c r="G181" i="3"/>
  <c r="H181" i="3"/>
  <c r="I181" i="3"/>
  <c r="C182" i="3"/>
  <c r="C184" i="3" s="1"/>
  <c r="C185" i="3"/>
  <c r="C187" i="3" s="1"/>
  <c r="D185" i="3"/>
  <c r="E185" i="3"/>
  <c r="E187" i="3" s="1"/>
  <c r="F185" i="3"/>
  <c r="F187" i="3" s="1"/>
  <c r="G185" i="3"/>
  <c r="H185" i="3"/>
  <c r="I185" i="3"/>
  <c r="E186" i="3"/>
  <c r="H186" i="3"/>
  <c r="I186" i="3"/>
  <c r="D187" i="3"/>
  <c r="G187" i="3"/>
  <c r="H187" i="3"/>
  <c r="I187" i="3"/>
  <c r="E188" i="3"/>
  <c r="I188" i="3"/>
  <c r="C189" i="3"/>
  <c r="D189" i="3"/>
  <c r="D182" i="3" s="1"/>
  <c r="E189" i="3"/>
  <c r="E182" i="3" s="1"/>
  <c r="F189" i="3"/>
  <c r="F182" i="3" s="1"/>
  <c r="G189" i="3"/>
  <c r="G182" i="3" s="1"/>
  <c r="H189" i="3"/>
  <c r="H190" i="3" s="1"/>
  <c r="I189" i="3"/>
  <c r="I190" i="3" s="1"/>
  <c r="C190" i="3"/>
  <c r="D190" i="3"/>
  <c r="E190" i="3"/>
  <c r="F190" i="3"/>
  <c r="G190" i="3"/>
  <c r="C191" i="3"/>
  <c r="D191" i="3"/>
  <c r="F191" i="3"/>
  <c r="H191" i="3"/>
  <c r="I191" i="3"/>
  <c r="C192" i="3"/>
  <c r="D192" i="3"/>
  <c r="D194" i="3" s="1"/>
  <c r="E192" i="3"/>
  <c r="E194" i="3" s="1"/>
  <c r="F192" i="3"/>
  <c r="G192" i="3"/>
  <c r="H192" i="3"/>
  <c r="I192" i="3"/>
  <c r="C193" i="3"/>
  <c r="D193" i="3"/>
  <c r="G193" i="3"/>
  <c r="H193" i="3"/>
  <c r="I193" i="3"/>
  <c r="C194" i="3"/>
  <c r="F194" i="3"/>
  <c r="G194" i="3"/>
  <c r="H194" i="3"/>
  <c r="I194" i="3"/>
  <c r="C195" i="3"/>
  <c r="C196" i="3" s="1"/>
  <c r="D195" i="3"/>
  <c r="D197" i="3" s="1"/>
  <c r="E195" i="3"/>
  <c r="E197" i="3" s="1"/>
  <c r="F195" i="3"/>
  <c r="G195" i="3"/>
  <c r="G188" i="3" s="1"/>
  <c r="H195" i="3"/>
  <c r="H188" i="3" s="1"/>
  <c r="I195" i="3"/>
  <c r="G196" i="3"/>
  <c r="C197" i="3"/>
  <c r="F197" i="3"/>
  <c r="I197" i="3"/>
  <c r="B195" i="3"/>
  <c r="B192" i="3"/>
  <c r="B189" i="3"/>
  <c r="B185" i="3"/>
  <c r="B180" i="3"/>
  <c r="B197" i="3"/>
  <c r="B194" i="3"/>
  <c r="B182" i="3"/>
  <c r="B187" i="3"/>
  <c r="B186" i="3"/>
  <c r="B181" i="3"/>
  <c r="C145" i="3"/>
  <c r="D145" i="3"/>
  <c r="E145" i="3"/>
  <c r="F145" i="3"/>
  <c r="G145" i="3"/>
  <c r="H145" i="3"/>
  <c r="I145" i="3"/>
  <c r="C146" i="3"/>
  <c r="D146" i="3"/>
  <c r="E146" i="3"/>
  <c r="F146" i="3"/>
  <c r="G146" i="3"/>
  <c r="H146" i="3"/>
  <c r="I146" i="3"/>
  <c r="C147" i="3"/>
  <c r="D147" i="3"/>
  <c r="E147" i="3"/>
  <c r="F147" i="3"/>
  <c r="G147" i="3"/>
  <c r="H147" i="3"/>
  <c r="H148" i="3" s="1"/>
  <c r="H150" i="3" s="1"/>
  <c r="I147" i="3"/>
  <c r="I148" i="3" s="1"/>
  <c r="I150" i="3" s="1"/>
  <c r="C148" i="3"/>
  <c r="D148" i="3"/>
  <c r="D150" i="3" s="1"/>
  <c r="E148" i="3"/>
  <c r="E150" i="3" s="1"/>
  <c r="F148" i="3"/>
  <c r="G148" i="3"/>
  <c r="G150" i="3" s="1"/>
  <c r="C149" i="3"/>
  <c r="D149" i="3"/>
  <c r="E149" i="3"/>
  <c r="F149" i="3"/>
  <c r="G149" i="3"/>
  <c r="H149" i="3"/>
  <c r="I149" i="3"/>
  <c r="C150" i="3"/>
  <c r="F150" i="3"/>
  <c r="C151" i="3"/>
  <c r="D151" i="3"/>
  <c r="E151" i="3"/>
  <c r="E152" i="3" s="1"/>
  <c r="E154" i="3" s="1"/>
  <c r="F151" i="3"/>
  <c r="F152" i="3" s="1"/>
  <c r="F154" i="3" s="1"/>
  <c r="G151" i="3"/>
  <c r="G152" i="3" s="1"/>
  <c r="G154" i="3" s="1"/>
  <c r="H151" i="3"/>
  <c r="H152" i="3" s="1"/>
  <c r="H154" i="3" s="1"/>
  <c r="I151" i="3"/>
  <c r="I152" i="3" s="1"/>
  <c r="I154" i="3" s="1"/>
  <c r="C152" i="3"/>
  <c r="C154" i="3" s="1"/>
  <c r="D152" i="3"/>
  <c r="D154" i="3" s="1"/>
  <c r="C153" i="3"/>
  <c r="D153" i="3"/>
  <c r="E153" i="3"/>
  <c r="F153" i="3"/>
  <c r="G153" i="3"/>
  <c r="H153" i="3"/>
  <c r="I153" i="3"/>
  <c r="C155" i="3"/>
  <c r="C156" i="3" s="1"/>
  <c r="C158" i="3" s="1"/>
  <c r="D155" i="3"/>
  <c r="D156" i="3" s="1"/>
  <c r="D158" i="3" s="1"/>
  <c r="E155" i="3"/>
  <c r="F155" i="3"/>
  <c r="F156" i="3" s="1"/>
  <c r="F158" i="3" s="1"/>
  <c r="G155" i="3"/>
  <c r="H155" i="3"/>
  <c r="I155" i="3"/>
  <c r="G156" i="3"/>
  <c r="H156" i="3"/>
  <c r="H158" i="3" s="1"/>
  <c r="I156" i="3"/>
  <c r="I158" i="3" s="1"/>
  <c r="C157" i="3"/>
  <c r="D157" i="3"/>
  <c r="E157" i="3"/>
  <c r="F157" i="3"/>
  <c r="G157" i="3"/>
  <c r="H157" i="3"/>
  <c r="I157" i="3"/>
  <c r="G158" i="3"/>
  <c r="C159" i="3"/>
  <c r="D159" i="3"/>
  <c r="E159" i="3"/>
  <c r="F159" i="3"/>
  <c r="G159" i="3"/>
  <c r="H159" i="3"/>
  <c r="I159" i="3"/>
  <c r="C160" i="3"/>
  <c r="D160" i="3"/>
  <c r="D162" i="3" s="1"/>
  <c r="E160" i="3"/>
  <c r="E162" i="3" s="1"/>
  <c r="F160" i="3"/>
  <c r="G160" i="3"/>
  <c r="G162" i="3" s="1"/>
  <c r="H160" i="3"/>
  <c r="H162" i="3" s="1"/>
  <c r="I160" i="3"/>
  <c r="C161" i="3"/>
  <c r="D161" i="3"/>
  <c r="E161" i="3"/>
  <c r="F161" i="3"/>
  <c r="G161" i="3"/>
  <c r="H161" i="3"/>
  <c r="I161" i="3"/>
  <c r="I162" i="3" s="1"/>
  <c r="C162" i="3"/>
  <c r="F162" i="3"/>
  <c r="H163" i="3"/>
  <c r="H165" i="3" s="1"/>
  <c r="C166" i="3"/>
  <c r="D166" i="3"/>
  <c r="E166" i="3"/>
  <c r="F166" i="3"/>
  <c r="G166" i="3"/>
  <c r="H166" i="3"/>
  <c r="I166" i="3"/>
  <c r="I167" i="3" s="1"/>
  <c r="C167" i="3"/>
  <c r="D167" i="3"/>
  <c r="E167" i="3"/>
  <c r="F167" i="3"/>
  <c r="G167" i="3"/>
  <c r="H167" i="3"/>
  <c r="C168" i="3"/>
  <c r="D168" i="3"/>
  <c r="E168" i="3"/>
  <c r="F168" i="3"/>
  <c r="G168" i="3"/>
  <c r="H168" i="3"/>
  <c r="I168" i="3"/>
  <c r="C170" i="3"/>
  <c r="C163" i="3" s="1"/>
  <c r="D170" i="3"/>
  <c r="D163" i="3" s="1"/>
  <c r="E170" i="3"/>
  <c r="E163" i="3" s="1"/>
  <c r="F170" i="3"/>
  <c r="F172" i="3" s="1"/>
  <c r="G170" i="3"/>
  <c r="G172" i="3" s="1"/>
  <c r="H170" i="3"/>
  <c r="H171" i="3" s="1"/>
  <c r="I170" i="3"/>
  <c r="I163" i="3" s="1"/>
  <c r="C171" i="3"/>
  <c r="D171" i="3"/>
  <c r="E171" i="3"/>
  <c r="I171" i="3"/>
  <c r="C172" i="3"/>
  <c r="D172" i="3"/>
  <c r="E172" i="3"/>
  <c r="H172" i="3"/>
  <c r="I172" i="3"/>
  <c r="C173" i="3"/>
  <c r="D173" i="3"/>
  <c r="E173" i="3"/>
  <c r="F173" i="3"/>
  <c r="G173" i="3"/>
  <c r="H173" i="3"/>
  <c r="I173" i="3"/>
  <c r="I175" i="3" s="1"/>
  <c r="C174" i="3"/>
  <c r="D174" i="3"/>
  <c r="E174" i="3"/>
  <c r="F174" i="3"/>
  <c r="G174" i="3"/>
  <c r="H174" i="3"/>
  <c r="C175" i="3"/>
  <c r="D175" i="3"/>
  <c r="E175" i="3"/>
  <c r="F175" i="3"/>
  <c r="G175" i="3"/>
  <c r="H175" i="3"/>
  <c r="C176" i="3"/>
  <c r="C169" i="3" s="1"/>
  <c r="D176" i="3"/>
  <c r="D169" i="3" s="1"/>
  <c r="E176" i="3"/>
  <c r="E169" i="3" s="1"/>
  <c r="F176" i="3"/>
  <c r="F169" i="3" s="1"/>
  <c r="G176" i="3"/>
  <c r="G169" i="3" s="1"/>
  <c r="H176" i="3"/>
  <c r="H169" i="3" s="1"/>
  <c r="I176" i="3"/>
  <c r="I169" i="3" s="1"/>
  <c r="J169" i="3" s="1"/>
  <c r="C177" i="3"/>
  <c r="D177" i="3"/>
  <c r="E177" i="3"/>
  <c r="F177" i="3"/>
  <c r="G177" i="3"/>
  <c r="H177" i="3"/>
  <c r="I177" i="3"/>
  <c r="C178" i="3"/>
  <c r="D178" i="3"/>
  <c r="E178" i="3"/>
  <c r="F178" i="3"/>
  <c r="G178" i="3"/>
  <c r="H178" i="3"/>
  <c r="I178" i="3"/>
  <c r="B176" i="3"/>
  <c r="B173" i="3"/>
  <c r="B170" i="3"/>
  <c r="B163" i="3" s="1"/>
  <c r="B166" i="3"/>
  <c r="B161" i="3"/>
  <c r="B159" i="3"/>
  <c r="B160" i="3"/>
  <c r="B155" i="3"/>
  <c r="B156" i="3" s="1"/>
  <c r="B158" i="3" s="1"/>
  <c r="B157" i="3"/>
  <c r="B153" i="3"/>
  <c r="B151" i="3"/>
  <c r="B149" i="3"/>
  <c r="B147" i="3"/>
  <c r="B145" i="3"/>
  <c r="B146" i="3" s="1"/>
  <c r="J178" i="3"/>
  <c r="K178" i="3" s="1"/>
  <c r="L178" i="3" s="1"/>
  <c r="M178" i="3" s="1"/>
  <c r="N178" i="3" s="1"/>
  <c r="B169" i="3"/>
  <c r="B167" i="3"/>
  <c r="K162" i="3"/>
  <c r="L162" i="3" s="1"/>
  <c r="M162" i="3" s="1"/>
  <c r="N162" i="3" s="1"/>
  <c r="K161" i="3"/>
  <c r="L161" i="3" s="1"/>
  <c r="J160" i="3"/>
  <c r="K158" i="3"/>
  <c r="L158" i="3" s="1"/>
  <c r="M158" i="3" s="1"/>
  <c r="N158" i="3" s="1"/>
  <c r="K157" i="3"/>
  <c r="L157" i="3" s="1"/>
  <c r="J156" i="3"/>
  <c r="J155" i="3" s="1"/>
  <c r="K154" i="3"/>
  <c r="L154" i="3" s="1"/>
  <c r="M154" i="3" s="1"/>
  <c r="N154" i="3" s="1"/>
  <c r="K153" i="3"/>
  <c r="L153" i="3" s="1"/>
  <c r="J152" i="3"/>
  <c r="B152" i="3"/>
  <c r="M150" i="3"/>
  <c r="N150" i="3" s="1"/>
  <c r="L150" i="3"/>
  <c r="K150" i="3"/>
  <c r="J148" i="3"/>
  <c r="B148" i="3"/>
  <c r="B150" i="3" s="1"/>
  <c r="C4" i="4" l="1"/>
  <c r="H11" i="4"/>
  <c r="H14" i="4" s="1"/>
  <c r="H16" i="4" s="1"/>
  <c r="H46" i="4"/>
  <c r="H49" i="4" s="1"/>
  <c r="H53" i="4" s="1"/>
  <c r="H55" i="4" s="1"/>
  <c r="H66" i="4" s="1"/>
  <c r="H68" i="4" s="1"/>
  <c r="H69" i="4" s="1"/>
  <c r="G11" i="4"/>
  <c r="G14" i="4" s="1"/>
  <c r="G16" i="4" s="1"/>
  <c r="G46" i="4"/>
  <c r="G49" i="4" s="1"/>
  <c r="G53" i="4" s="1"/>
  <c r="G55" i="4" s="1"/>
  <c r="G66" i="4" s="1"/>
  <c r="G68" i="4" s="1"/>
  <c r="G69" i="4" s="1"/>
  <c r="F11" i="4"/>
  <c r="F14" i="4" s="1"/>
  <c r="F16" i="4" s="1"/>
  <c r="F46" i="4"/>
  <c r="F49" i="4" s="1"/>
  <c r="F53" i="4" s="1"/>
  <c r="F55" i="4" s="1"/>
  <c r="F66" i="4" s="1"/>
  <c r="F68" i="4" s="1"/>
  <c r="F69" i="4" s="1"/>
  <c r="E11" i="4"/>
  <c r="E14" i="4" s="1"/>
  <c r="E16" i="4" s="1"/>
  <c r="E46" i="4"/>
  <c r="E49" i="4" s="1"/>
  <c r="E53" i="4" s="1"/>
  <c r="E55" i="4" s="1"/>
  <c r="E66" i="4" s="1"/>
  <c r="E68" i="4" s="1"/>
  <c r="E69" i="4" s="1"/>
  <c r="J18" i="4"/>
  <c r="J61" i="4"/>
  <c r="J41" i="4"/>
  <c r="J43" i="4" s="1"/>
  <c r="J44" i="4" s="1"/>
  <c r="D11" i="4"/>
  <c r="D14" i="4" s="1"/>
  <c r="D46" i="4"/>
  <c r="D49" i="4" s="1"/>
  <c r="D53" i="4" s="1"/>
  <c r="D55" i="4" s="1"/>
  <c r="D66" i="4" s="1"/>
  <c r="D68" i="4" s="1"/>
  <c r="D69" i="4" s="1"/>
  <c r="L15" i="4"/>
  <c r="K17" i="4"/>
  <c r="K16" i="4"/>
  <c r="C11" i="4"/>
  <c r="C14" i="4" s="1"/>
  <c r="C46" i="4"/>
  <c r="C49" i="4" s="1"/>
  <c r="C53" i="4" s="1"/>
  <c r="C55" i="4" s="1"/>
  <c r="C66" i="4" s="1"/>
  <c r="C68" i="4" s="1"/>
  <c r="C69" i="4" s="1"/>
  <c r="J8" i="4"/>
  <c r="I11" i="4"/>
  <c r="I14" i="4" s="1"/>
  <c r="I16" i="4" s="1"/>
  <c r="G19" i="4"/>
  <c r="H4" i="4"/>
  <c r="H19" i="4"/>
  <c r="G4" i="4"/>
  <c r="F4" i="4"/>
  <c r="B18" i="4"/>
  <c r="C18" i="4"/>
  <c r="I24" i="4"/>
  <c r="J4" i="4"/>
  <c r="E4" i="4"/>
  <c r="E19" i="4"/>
  <c r="D4" i="4"/>
  <c r="I18" i="4"/>
  <c r="I19" i="4"/>
  <c r="F19" i="4"/>
  <c r="K148" i="3"/>
  <c r="C9" i="4"/>
  <c r="I8" i="4"/>
  <c r="I9" i="4"/>
  <c r="H8" i="4"/>
  <c r="H9" i="4"/>
  <c r="F9" i="4"/>
  <c r="F8" i="4"/>
  <c r="G9" i="4"/>
  <c r="G8" i="4"/>
  <c r="E9" i="4"/>
  <c r="E8" i="4"/>
  <c r="D9" i="4"/>
  <c r="D8" i="4"/>
  <c r="B9" i="4"/>
  <c r="C8" i="4"/>
  <c r="B8" i="4"/>
  <c r="B11" i="4"/>
  <c r="M148" i="3"/>
  <c r="L148" i="3"/>
  <c r="I202" i="3"/>
  <c r="G202" i="3"/>
  <c r="G203" i="3"/>
  <c r="E203" i="3"/>
  <c r="E202" i="3"/>
  <c r="F202" i="3"/>
  <c r="F203" i="3"/>
  <c r="D203" i="3"/>
  <c r="D202" i="3"/>
  <c r="C203" i="3"/>
  <c r="C202" i="3"/>
  <c r="H210" i="3"/>
  <c r="E207" i="3"/>
  <c r="I203" i="3"/>
  <c r="D207" i="3"/>
  <c r="C207" i="3"/>
  <c r="D205" i="3"/>
  <c r="H201" i="3"/>
  <c r="E215" i="3"/>
  <c r="C205" i="3"/>
  <c r="D215" i="3"/>
  <c r="B216" i="3"/>
  <c r="B212" i="3"/>
  <c r="B205" i="3"/>
  <c r="B200" i="3"/>
  <c r="J211" i="3"/>
  <c r="J212" i="3" s="1"/>
  <c r="B203" i="3"/>
  <c r="B202" i="3"/>
  <c r="B209" i="3"/>
  <c r="B210" i="3"/>
  <c r="D184" i="3"/>
  <c r="D183" i="3"/>
  <c r="F183" i="3"/>
  <c r="F184" i="3"/>
  <c r="E184" i="3"/>
  <c r="E183" i="3"/>
  <c r="G183" i="3"/>
  <c r="G184" i="3"/>
  <c r="F188" i="3"/>
  <c r="H196" i="3"/>
  <c r="E193" i="3"/>
  <c r="G191" i="3"/>
  <c r="D188" i="3"/>
  <c r="F186" i="3"/>
  <c r="C183" i="3"/>
  <c r="E181" i="3"/>
  <c r="C188" i="3"/>
  <c r="I182" i="3"/>
  <c r="F193" i="3"/>
  <c r="F196" i="3"/>
  <c r="D186" i="3"/>
  <c r="H182" i="3"/>
  <c r="I196" i="3"/>
  <c r="G186" i="3"/>
  <c r="E196" i="3"/>
  <c r="C186" i="3"/>
  <c r="D196" i="3"/>
  <c r="H197" i="3"/>
  <c r="G197" i="3"/>
  <c r="B184" i="3"/>
  <c r="B183" i="3"/>
  <c r="B190" i="3"/>
  <c r="B188" i="3"/>
  <c r="B191" i="3"/>
  <c r="J180" i="3"/>
  <c r="B193" i="3"/>
  <c r="B196" i="3"/>
  <c r="I165" i="3"/>
  <c r="J165" i="3" s="1"/>
  <c r="K165" i="3" s="1"/>
  <c r="L165" i="3" s="1"/>
  <c r="M165" i="3" s="1"/>
  <c r="N165" i="3" s="1"/>
  <c r="I164" i="3"/>
  <c r="E165" i="3"/>
  <c r="E164" i="3"/>
  <c r="D164" i="3"/>
  <c r="D165" i="3"/>
  <c r="C164" i="3"/>
  <c r="C165" i="3"/>
  <c r="F163" i="3"/>
  <c r="E156" i="3"/>
  <c r="E158" i="3" s="1"/>
  <c r="G171" i="3"/>
  <c r="I174" i="3"/>
  <c r="F171" i="3"/>
  <c r="G163" i="3"/>
  <c r="H164" i="3" s="1"/>
  <c r="B162" i="3"/>
  <c r="B154" i="3"/>
  <c r="B175" i="3"/>
  <c r="B168" i="3"/>
  <c r="B178" i="3"/>
  <c r="M161" i="3"/>
  <c r="L160" i="3"/>
  <c r="K169" i="3"/>
  <c r="M157" i="3"/>
  <c r="L156" i="3"/>
  <c r="B165" i="3"/>
  <c r="B164" i="3"/>
  <c r="L152" i="3"/>
  <c r="M153" i="3"/>
  <c r="N148" i="3"/>
  <c r="K160" i="3"/>
  <c r="B171" i="3"/>
  <c r="K152" i="3"/>
  <c r="J159" i="3"/>
  <c r="B172" i="3"/>
  <c r="B174" i="3"/>
  <c r="K156" i="3"/>
  <c r="K155" i="3" s="1"/>
  <c r="J147" i="3"/>
  <c r="J151" i="3"/>
  <c r="B177" i="3"/>
  <c r="C19" i="4" l="1"/>
  <c r="C16" i="4"/>
  <c r="K61" i="4"/>
  <c r="K18" i="4"/>
  <c r="K41" i="4"/>
  <c r="K43" i="4" s="1"/>
  <c r="K44" i="4" s="1"/>
  <c r="M15" i="4"/>
  <c r="L16" i="4"/>
  <c r="L17" i="4"/>
  <c r="D16" i="4"/>
  <c r="D19" i="4"/>
  <c r="L155" i="3"/>
  <c r="J145" i="3"/>
  <c r="G13" i="4"/>
  <c r="H13" i="4"/>
  <c r="C13" i="4"/>
  <c r="F13" i="4"/>
  <c r="D13" i="4"/>
  <c r="E13" i="4"/>
  <c r="I13" i="4"/>
  <c r="B14" i="4"/>
  <c r="B13" i="4"/>
  <c r="H202" i="3"/>
  <c r="H203" i="3"/>
  <c r="H183" i="3"/>
  <c r="H184" i="3"/>
  <c r="I183" i="3"/>
  <c r="I184" i="3"/>
  <c r="J184" i="3"/>
  <c r="K184" i="3" s="1"/>
  <c r="L184" i="3" s="1"/>
  <c r="M184" i="3" s="1"/>
  <c r="N184" i="3" s="1"/>
  <c r="K180" i="3"/>
  <c r="F164" i="3"/>
  <c r="F165" i="3"/>
  <c r="G165" i="3"/>
  <c r="G164" i="3"/>
  <c r="N153" i="3"/>
  <c r="N152" i="3" s="1"/>
  <c r="M152" i="3"/>
  <c r="L169" i="3"/>
  <c r="N161" i="3"/>
  <c r="N160" i="3" s="1"/>
  <c r="M160" i="3"/>
  <c r="K151" i="3"/>
  <c r="L151" i="3" s="1"/>
  <c r="K159" i="3"/>
  <c r="L159" i="3" s="1"/>
  <c r="M159" i="3" s="1"/>
  <c r="N157" i="3"/>
  <c r="N156" i="3" s="1"/>
  <c r="M156" i="3"/>
  <c r="M155" i="3" s="1"/>
  <c r="N155" i="3" s="1"/>
  <c r="K147" i="3"/>
  <c r="K145" i="3" s="1"/>
  <c r="N15" i="4" l="1"/>
  <c r="M16" i="4"/>
  <c r="M17" i="4"/>
  <c r="L61" i="4"/>
  <c r="L18" i="4"/>
  <c r="L41" i="4"/>
  <c r="L43" i="4" s="1"/>
  <c r="L44" i="4" s="1"/>
  <c r="B16" i="4"/>
  <c r="B19" i="4"/>
  <c r="N159" i="3"/>
  <c r="M151" i="3"/>
  <c r="N151" i="3" s="1"/>
  <c r="K182" i="3"/>
  <c r="L180" i="3"/>
  <c r="J182" i="3"/>
  <c r="J163" i="3"/>
  <c r="J146" i="3"/>
  <c r="J176" i="3"/>
  <c r="M169" i="3"/>
  <c r="L147" i="3"/>
  <c r="L145" i="3" s="1"/>
  <c r="M61" i="4" l="1"/>
  <c r="M18" i="4"/>
  <c r="M41" i="4"/>
  <c r="M43" i="4" s="1"/>
  <c r="M44" i="4" s="1"/>
  <c r="N16" i="4"/>
  <c r="N17" i="4"/>
  <c r="J183" i="3"/>
  <c r="L182" i="3"/>
  <c r="M180" i="3"/>
  <c r="K183" i="3"/>
  <c r="J166" i="3"/>
  <c r="K163" i="3"/>
  <c r="K146" i="3"/>
  <c r="K176" i="3"/>
  <c r="M147" i="3"/>
  <c r="M145" i="3" s="1"/>
  <c r="N169" i="3"/>
  <c r="N61" i="4" l="1"/>
  <c r="N18" i="4"/>
  <c r="N41" i="4"/>
  <c r="N43" i="4" s="1"/>
  <c r="N44" i="4" s="1"/>
  <c r="J170" i="3"/>
  <c r="M182" i="3"/>
  <c r="N180" i="3"/>
  <c r="L183" i="3"/>
  <c r="L146" i="3"/>
  <c r="L176" i="3"/>
  <c r="L163" i="3"/>
  <c r="N147" i="3"/>
  <c r="N145" i="3" s="1"/>
  <c r="K166" i="3"/>
  <c r="K170" i="3"/>
  <c r="N182" i="3" l="1"/>
  <c r="M183" i="3"/>
  <c r="N146" i="3"/>
  <c r="N176" i="3"/>
  <c r="N163" i="3"/>
  <c r="M146" i="3"/>
  <c r="M176" i="3"/>
  <c r="M163" i="3"/>
  <c r="L166" i="3"/>
  <c r="N183" i="3" l="1"/>
  <c r="M166" i="3"/>
  <c r="L170" i="3"/>
  <c r="N166" i="3"/>
  <c r="N170" i="3" l="1"/>
  <c r="M170" i="3"/>
  <c r="C114" i="3" l="1"/>
  <c r="D114" i="3"/>
  <c r="D133" i="3" s="1"/>
  <c r="E114" i="3"/>
  <c r="F114" i="3"/>
  <c r="G114" i="3"/>
  <c r="H114" i="3"/>
  <c r="H115" i="3" s="1"/>
  <c r="I114" i="3"/>
  <c r="I143" i="3" s="1"/>
  <c r="J143" i="3" s="1"/>
  <c r="C115" i="3"/>
  <c r="D115" i="3"/>
  <c r="E115" i="3"/>
  <c r="F115" i="3"/>
  <c r="G115" i="3"/>
  <c r="I115" i="3"/>
  <c r="C116" i="3"/>
  <c r="D116" i="3"/>
  <c r="E116" i="3"/>
  <c r="F116" i="3"/>
  <c r="F117" i="3" s="1"/>
  <c r="F119" i="3" s="1"/>
  <c r="G116" i="3"/>
  <c r="H116" i="3"/>
  <c r="H117" i="3" s="1"/>
  <c r="H119" i="3" s="1"/>
  <c r="I116" i="3"/>
  <c r="I117" i="3" s="1"/>
  <c r="I119" i="3" s="1"/>
  <c r="C117" i="3"/>
  <c r="D117" i="3"/>
  <c r="D119" i="3" s="1"/>
  <c r="E117" i="3"/>
  <c r="E119" i="3" s="1"/>
  <c r="G117" i="3"/>
  <c r="G119" i="3" s="1"/>
  <c r="C118" i="3"/>
  <c r="D118" i="3"/>
  <c r="E118" i="3"/>
  <c r="F118" i="3"/>
  <c r="G118" i="3"/>
  <c r="H118" i="3"/>
  <c r="I118" i="3"/>
  <c r="C119" i="3"/>
  <c r="C120" i="3"/>
  <c r="D120" i="3"/>
  <c r="D121" i="3" s="1"/>
  <c r="D123" i="3" s="1"/>
  <c r="E120" i="3"/>
  <c r="E121" i="3" s="1"/>
  <c r="E123" i="3" s="1"/>
  <c r="F120" i="3"/>
  <c r="F121" i="3" s="1"/>
  <c r="F123" i="3" s="1"/>
  <c r="G120" i="3"/>
  <c r="G121" i="3" s="1"/>
  <c r="G123" i="3" s="1"/>
  <c r="H120" i="3"/>
  <c r="H121" i="3" s="1"/>
  <c r="H123" i="3" s="1"/>
  <c r="I120" i="3"/>
  <c r="C121" i="3"/>
  <c r="C123" i="3" s="1"/>
  <c r="C122" i="3"/>
  <c r="D122" i="3"/>
  <c r="E122" i="3"/>
  <c r="F122" i="3"/>
  <c r="G122" i="3"/>
  <c r="H122" i="3"/>
  <c r="I122" i="3"/>
  <c r="C124" i="3"/>
  <c r="C125" i="3" s="1"/>
  <c r="C127" i="3" s="1"/>
  <c r="D124" i="3"/>
  <c r="D125" i="3" s="1"/>
  <c r="D127" i="3" s="1"/>
  <c r="E124" i="3"/>
  <c r="F124" i="3"/>
  <c r="G124" i="3"/>
  <c r="H124" i="3"/>
  <c r="I124" i="3"/>
  <c r="F125" i="3"/>
  <c r="G125" i="3"/>
  <c r="H125" i="3"/>
  <c r="H127" i="3" s="1"/>
  <c r="I125" i="3"/>
  <c r="I127" i="3" s="1"/>
  <c r="C126" i="3"/>
  <c r="D126" i="3"/>
  <c r="E126" i="3"/>
  <c r="F126" i="3"/>
  <c r="G126" i="3"/>
  <c r="H126" i="3"/>
  <c r="I126" i="3"/>
  <c r="F127" i="3"/>
  <c r="G127" i="3"/>
  <c r="H128" i="3"/>
  <c r="C131" i="3"/>
  <c r="C133" i="3" s="1"/>
  <c r="D131" i="3"/>
  <c r="E131" i="3"/>
  <c r="E133" i="3" s="1"/>
  <c r="F131" i="3"/>
  <c r="G131" i="3"/>
  <c r="G134" i="3" s="1"/>
  <c r="H131" i="3"/>
  <c r="I131" i="3"/>
  <c r="I132" i="3" s="1"/>
  <c r="E132" i="3"/>
  <c r="F132" i="3"/>
  <c r="G132" i="3"/>
  <c r="H132" i="3"/>
  <c r="F133" i="3"/>
  <c r="G133" i="3"/>
  <c r="H133" i="3"/>
  <c r="I133" i="3"/>
  <c r="F134" i="3"/>
  <c r="H134" i="3"/>
  <c r="C135" i="3"/>
  <c r="C128" i="3" s="1"/>
  <c r="D135" i="3"/>
  <c r="D128" i="3" s="1"/>
  <c r="E135" i="3"/>
  <c r="E136" i="3" s="1"/>
  <c r="F135" i="3"/>
  <c r="F128" i="3" s="1"/>
  <c r="G135" i="3"/>
  <c r="G136" i="3" s="1"/>
  <c r="H135" i="3"/>
  <c r="H136" i="3" s="1"/>
  <c r="I135" i="3"/>
  <c r="I136" i="3" s="1"/>
  <c r="C136" i="3"/>
  <c r="D136" i="3"/>
  <c r="F136" i="3"/>
  <c r="C137" i="3"/>
  <c r="D137" i="3"/>
  <c r="E137" i="3"/>
  <c r="F137" i="3"/>
  <c r="H137" i="3"/>
  <c r="I137" i="3"/>
  <c r="C138" i="3"/>
  <c r="D138" i="3"/>
  <c r="D140" i="3" s="1"/>
  <c r="E138" i="3"/>
  <c r="F138" i="3"/>
  <c r="G138" i="3"/>
  <c r="H138" i="3"/>
  <c r="H139" i="3" s="1"/>
  <c r="I138" i="3"/>
  <c r="C139" i="3"/>
  <c r="D139" i="3"/>
  <c r="E139" i="3"/>
  <c r="F139" i="3"/>
  <c r="G139" i="3"/>
  <c r="C140" i="3"/>
  <c r="E140" i="3"/>
  <c r="F140" i="3"/>
  <c r="G140" i="3"/>
  <c r="H140" i="3"/>
  <c r="I140" i="3"/>
  <c r="C141" i="3"/>
  <c r="C142" i="3" s="1"/>
  <c r="D141" i="3"/>
  <c r="D143" i="3" s="1"/>
  <c r="E141" i="3"/>
  <c r="E143" i="3" s="1"/>
  <c r="F141" i="3"/>
  <c r="G141" i="3"/>
  <c r="G143" i="3" s="1"/>
  <c r="H141" i="3"/>
  <c r="I141" i="3"/>
  <c r="G142" i="3"/>
  <c r="H142" i="3"/>
  <c r="I142" i="3"/>
  <c r="C143" i="3"/>
  <c r="F143" i="3"/>
  <c r="H143" i="3"/>
  <c r="B143" i="3"/>
  <c r="B141" i="3"/>
  <c r="B140" i="3"/>
  <c r="B138" i="3"/>
  <c r="B137" i="3"/>
  <c r="B135" i="3"/>
  <c r="B133" i="3"/>
  <c r="B131" i="3"/>
  <c r="B126" i="3"/>
  <c r="B124" i="3"/>
  <c r="B122" i="3"/>
  <c r="B120" i="3"/>
  <c r="B118" i="3"/>
  <c r="B116" i="3"/>
  <c r="B114" i="3"/>
  <c r="B117" i="3"/>
  <c r="J140" i="3"/>
  <c r="K140" i="3" s="1"/>
  <c r="L140" i="3" s="1"/>
  <c r="M140" i="3" s="1"/>
  <c r="N140" i="3" s="1"/>
  <c r="B128" i="3"/>
  <c r="B130" i="3" s="1"/>
  <c r="K127" i="3"/>
  <c r="L127" i="3" s="1"/>
  <c r="M127" i="3" s="1"/>
  <c r="N127" i="3" s="1"/>
  <c r="K126" i="3"/>
  <c r="L126" i="3" s="1"/>
  <c r="K125" i="3"/>
  <c r="J125" i="3"/>
  <c r="K123" i="3"/>
  <c r="L123" i="3" s="1"/>
  <c r="M123" i="3" s="1"/>
  <c r="N123" i="3" s="1"/>
  <c r="K122" i="3"/>
  <c r="L122" i="3" s="1"/>
  <c r="J121" i="3"/>
  <c r="J120" i="3" s="1"/>
  <c r="L119" i="3"/>
  <c r="M119" i="3" s="1"/>
  <c r="N119" i="3" s="1"/>
  <c r="K119" i="3"/>
  <c r="K118" i="3"/>
  <c r="L118" i="3" s="1"/>
  <c r="L117" i="3" s="1"/>
  <c r="K117" i="3"/>
  <c r="J117" i="3"/>
  <c r="B115" i="3"/>
  <c r="C83" i="3"/>
  <c r="D83" i="3"/>
  <c r="E83" i="3"/>
  <c r="E106" i="3" s="1"/>
  <c r="F83" i="3"/>
  <c r="F112" i="3" s="1"/>
  <c r="G83" i="3"/>
  <c r="H83" i="3"/>
  <c r="H84" i="3" s="1"/>
  <c r="I83" i="3"/>
  <c r="I84" i="3" s="1"/>
  <c r="C84" i="3"/>
  <c r="D84" i="3"/>
  <c r="E84" i="3"/>
  <c r="F84" i="3"/>
  <c r="C85" i="3"/>
  <c r="D85" i="3"/>
  <c r="E86" i="3" s="1"/>
  <c r="E88" i="3" s="1"/>
  <c r="E85" i="3"/>
  <c r="F85" i="3"/>
  <c r="F86" i="3" s="1"/>
  <c r="F88" i="3" s="1"/>
  <c r="G85" i="3"/>
  <c r="G86" i="3" s="1"/>
  <c r="G88" i="3" s="1"/>
  <c r="H85" i="3"/>
  <c r="I85" i="3"/>
  <c r="C86" i="3"/>
  <c r="C88" i="3" s="1"/>
  <c r="D86" i="3"/>
  <c r="D88" i="3" s="1"/>
  <c r="H86" i="3"/>
  <c r="H88" i="3" s="1"/>
  <c r="I86" i="3"/>
  <c r="I88" i="3" s="1"/>
  <c r="C87" i="3"/>
  <c r="D87" i="3"/>
  <c r="E87" i="3"/>
  <c r="F87" i="3"/>
  <c r="G87" i="3"/>
  <c r="H87" i="3"/>
  <c r="I87" i="3"/>
  <c r="C89" i="3"/>
  <c r="C90" i="3" s="1"/>
  <c r="C92" i="3" s="1"/>
  <c r="D89" i="3"/>
  <c r="E89" i="3"/>
  <c r="F89" i="3"/>
  <c r="F90" i="3" s="1"/>
  <c r="F92" i="3" s="1"/>
  <c r="G89" i="3"/>
  <c r="G90" i="3" s="1"/>
  <c r="G92" i="3" s="1"/>
  <c r="H89" i="3"/>
  <c r="I90" i="3" s="1"/>
  <c r="I92" i="3" s="1"/>
  <c r="I89" i="3"/>
  <c r="D90" i="3"/>
  <c r="D92" i="3" s="1"/>
  <c r="E90" i="3"/>
  <c r="E92" i="3" s="1"/>
  <c r="C91" i="3"/>
  <c r="D91" i="3"/>
  <c r="E91" i="3"/>
  <c r="F91" i="3"/>
  <c r="G91" i="3"/>
  <c r="H91" i="3"/>
  <c r="I91" i="3"/>
  <c r="C93" i="3"/>
  <c r="C94" i="3" s="1"/>
  <c r="C96" i="3" s="1"/>
  <c r="D93" i="3"/>
  <c r="E94" i="3" s="1"/>
  <c r="E96" i="3" s="1"/>
  <c r="E93" i="3"/>
  <c r="F93" i="3"/>
  <c r="G93" i="3"/>
  <c r="H93" i="3"/>
  <c r="I94" i="3" s="1"/>
  <c r="I96" i="3" s="1"/>
  <c r="I93" i="3"/>
  <c r="F94" i="3"/>
  <c r="G94" i="3"/>
  <c r="G96" i="3" s="1"/>
  <c r="H94" i="3"/>
  <c r="H96" i="3" s="1"/>
  <c r="C95" i="3"/>
  <c r="D95" i="3"/>
  <c r="E95" i="3"/>
  <c r="F95" i="3"/>
  <c r="G95" i="3"/>
  <c r="H95" i="3"/>
  <c r="I95" i="3"/>
  <c r="F96" i="3"/>
  <c r="D97" i="3"/>
  <c r="D99" i="3" s="1"/>
  <c r="C100" i="3"/>
  <c r="D101" i="3" s="1"/>
  <c r="D100" i="3"/>
  <c r="E100" i="3"/>
  <c r="F100" i="3"/>
  <c r="F102" i="3" s="1"/>
  <c r="G100" i="3"/>
  <c r="G103" i="3" s="1"/>
  <c r="H100" i="3"/>
  <c r="I100" i="3"/>
  <c r="I101" i="3" s="1"/>
  <c r="C101" i="3"/>
  <c r="E101" i="3"/>
  <c r="F101" i="3"/>
  <c r="G101" i="3"/>
  <c r="C102" i="3"/>
  <c r="D102" i="3"/>
  <c r="E102" i="3"/>
  <c r="H102" i="3"/>
  <c r="E103" i="3"/>
  <c r="C104" i="3"/>
  <c r="C97" i="3" s="1"/>
  <c r="D104" i="3"/>
  <c r="E104" i="3"/>
  <c r="E105" i="3" s="1"/>
  <c r="F104" i="3"/>
  <c r="F105" i="3" s="1"/>
  <c r="G104" i="3"/>
  <c r="H104" i="3"/>
  <c r="H97" i="3" s="1"/>
  <c r="I104" i="3"/>
  <c r="I105" i="3" s="1"/>
  <c r="C105" i="3"/>
  <c r="G105" i="3"/>
  <c r="H105" i="3"/>
  <c r="D106" i="3"/>
  <c r="G106" i="3"/>
  <c r="H106" i="3"/>
  <c r="C107" i="3"/>
  <c r="D107" i="3"/>
  <c r="E107" i="3"/>
  <c r="E109" i="3" s="1"/>
  <c r="F107" i="3"/>
  <c r="F109" i="3" s="1"/>
  <c r="G107" i="3"/>
  <c r="H107" i="3"/>
  <c r="H108" i="3" s="1"/>
  <c r="I107" i="3"/>
  <c r="I108" i="3" s="1"/>
  <c r="C108" i="3"/>
  <c r="D108" i="3"/>
  <c r="E108" i="3"/>
  <c r="F108" i="3"/>
  <c r="C109" i="3"/>
  <c r="D109" i="3"/>
  <c r="G109" i="3"/>
  <c r="H109" i="3"/>
  <c r="I109" i="3"/>
  <c r="C110" i="3"/>
  <c r="C111" i="3" s="1"/>
  <c r="D110" i="3"/>
  <c r="D112" i="3" s="1"/>
  <c r="E110" i="3"/>
  <c r="F111" i="3" s="1"/>
  <c r="F110" i="3"/>
  <c r="G110" i="3"/>
  <c r="H110" i="3"/>
  <c r="H103" i="3" s="1"/>
  <c r="I110" i="3"/>
  <c r="I103" i="3" s="1"/>
  <c r="J103" i="3" s="1"/>
  <c r="G111" i="3"/>
  <c r="H111" i="3"/>
  <c r="I111" i="3"/>
  <c r="E112" i="3"/>
  <c r="G112" i="3"/>
  <c r="B112" i="3"/>
  <c r="B110" i="3"/>
  <c r="B109" i="3"/>
  <c r="B107" i="3"/>
  <c r="B106" i="3"/>
  <c r="B102" i="3"/>
  <c r="B99" i="3"/>
  <c r="B104" i="3"/>
  <c r="B100" i="3"/>
  <c r="B95" i="3"/>
  <c r="B93" i="3"/>
  <c r="B91" i="3"/>
  <c r="B89" i="3"/>
  <c r="B87" i="3"/>
  <c r="B85" i="3"/>
  <c r="B83" i="3"/>
  <c r="B97" i="3"/>
  <c r="B101" i="3"/>
  <c r="K96" i="3"/>
  <c r="L96" i="3" s="1"/>
  <c r="M96" i="3" s="1"/>
  <c r="N96" i="3" s="1"/>
  <c r="K95" i="3"/>
  <c r="L95" i="3" s="1"/>
  <c r="J94" i="3"/>
  <c r="J93" i="3"/>
  <c r="B94" i="3"/>
  <c r="K92" i="3"/>
  <c r="L92" i="3" s="1"/>
  <c r="M92" i="3" s="1"/>
  <c r="N92" i="3" s="1"/>
  <c r="K91" i="3"/>
  <c r="L91" i="3" s="1"/>
  <c r="J90" i="3"/>
  <c r="J89" i="3" s="1"/>
  <c r="B90" i="3"/>
  <c r="B92" i="3" s="1"/>
  <c r="L88" i="3"/>
  <c r="M88" i="3" s="1"/>
  <c r="N88" i="3" s="1"/>
  <c r="K88" i="3"/>
  <c r="K87" i="3"/>
  <c r="L87" i="3" s="1"/>
  <c r="L86" i="3" s="1"/>
  <c r="K86" i="3"/>
  <c r="J86" i="3"/>
  <c r="B86" i="3"/>
  <c r="B88" i="3" s="1"/>
  <c r="B84" i="3"/>
  <c r="C52" i="3"/>
  <c r="D52" i="3"/>
  <c r="E52" i="3"/>
  <c r="F52" i="3"/>
  <c r="G52" i="3"/>
  <c r="H52" i="3"/>
  <c r="H53" i="3" s="1"/>
  <c r="I52" i="3"/>
  <c r="I53" i="3" s="1"/>
  <c r="C53" i="3"/>
  <c r="D53" i="3"/>
  <c r="E53" i="3"/>
  <c r="F53" i="3"/>
  <c r="G53" i="3"/>
  <c r="C54" i="3"/>
  <c r="D54" i="3"/>
  <c r="E54" i="3"/>
  <c r="F54" i="3"/>
  <c r="F55" i="3" s="1"/>
  <c r="F57" i="3" s="1"/>
  <c r="G54" i="3"/>
  <c r="G55" i="3" s="1"/>
  <c r="G57" i="3" s="1"/>
  <c r="H54" i="3"/>
  <c r="H55" i="3" s="1"/>
  <c r="H57" i="3" s="1"/>
  <c r="I54" i="3"/>
  <c r="I55" i="3" s="1"/>
  <c r="I57" i="3" s="1"/>
  <c r="C55" i="3"/>
  <c r="D55" i="3"/>
  <c r="D57" i="3" s="1"/>
  <c r="E55" i="3"/>
  <c r="E57" i="3" s="1"/>
  <c r="C56" i="3"/>
  <c r="D56" i="3"/>
  <c r="E56" i="3"/>
  <c r="F56" i="3"/>
  <c r="G56" i="3"/>
  <c r="H56" i="3"/>
  <c r="I56" i="3"/>
  <c r="C57" i="3"/>
  <c r="C58" i="3"/>
  <c r="C59" i="3" s="1"/>
  <c r="C61" i="3" s="1"/>
  <c r="D58" i="3"/>
  <c r="D59" i="3" s="1"/>
  <c r="D61" i="3" s="1"/>
  <c r="E58" i="3"/>
  <c r="E59" i="3" s="1"/>
  <c r="E61" i="3" s="1"/>
  <c r="F58" i="3"/>
  <c r="F59" i="3" s="1"/>
  <c r="F61" i="3" s="1"/>
  <c r="G58" i="3"/>
  <c r="G59" i="3" s="1"/>
  <c r="G61" i="3" s="1"/>
  <c r="H58" i="3"/>
  <c r="H59" i="3" s="1"/>
  <c r="H61" i="3" s="1"/>
  <c r="I58" i="3"/>
  <c r="C60" i="3"/>
  <c r="D60" i="3"/>
  <c r="E60" i="3"/>
  <c r="F60" i="3"/>
  <c r="G60" i="3"/>
  <c r="H60" i="3"/>
  <c r="I60" i="3"/>
  <c r="C62" i="3"/>
  <c r="C63" i="3" s="1"/>
  <c r="C65" i="3" s="1"/>
  <c r="D62" i="3"/>
  <c r="D63" i="3" s="1"/>
  <c r="D65" i="3" s="1"/>
  <c r="E62" i="3"/>
  <c r="F62" i="3"/>
  <c r="G62" i="3"/>
  <c r="H62" i="3"/>
  <c r="I62" i="3"/>
  <c r="F63" i="3"/>
  <c r="G63" i="3"/>
  <c r="H63" i="3"/>
  <c r="H65" i="3" s="1"/>
  <c r="I63" i="3"/>
  <c r="I65" i="3" s="1"/>
  <c r="C64" i="3"/>
  <c r="D64" i="3"/>
  <c r="E64" i="3"/>
  <c r="F64" i="3"/>
  <c r="G64" i="3"/>
  <c r="H64" i="3"/>
  <c r="I64" i="3"/>
  <c r="F65" i="3"/>
  <c r="G65" i="3"/>
  <c r="G66" i="3"/>
  <c r="C69" i="3"/>
  <c r="C71" i="3" s="1"/>
  <c r="D69" i="3"/>
  <c r="D71" i="3" s="1"/>
  <c r="E69" i="3"/>
  <c r="E71" i="3" s="1"/>
  <c r="F69" i="3"/>
  <c r="G69" i="3"/>
  <c r="H69" i="3"/>
  <c r="I69" i="3"/>
  <c r="I70" i="3" s="1"/>
  <c r="E70" i="3"/>
  <c r="F70" i="3"/>
  <c r="G70" i="3"/>
  <c r="H70" i="3"/>
  <c r="F71" i="3"/>
  <c r="G71" i="3"/>
  <c r="H71" i="3"/>
  <c r="F72" i="3"/>
  <c r="G72" i="3"/>
  <c r="H72" i="3"/>
  <c r="C73" i="3"/>
  <c r="C66" i="3" s="1"/>
  <c r="D73" i="3"/>
  <c r="D66" i="3" s="1"/>
  <c r="E73" i="3"/>
  <c r="E74" i="3" s="1"/>
  <c r="F73" i="3"/>
  <c r="F74" i="3" s="1"/>
  <c r="G73" i="3"/>
  <c r="G74" i="3" s="1"/>
  <c r="H73" i="3"/>
  <c r="H74" i="3" s="1"/>
  <c r="I73" i="3"/>
  <c r="I74" i="3" s="1"/>
  <c r="C74" i="3"/>
  <c r="D74" i="3"/>
  <c r="C75" i="3"/>
  <c r="D75" i="3"/>
  <c r="E75" i="3"/>
  <c r="G75" i="3"/>
  <c r="H75" i="3"/>
  <c r="I75" i="3"/>
  <c r="C76" i="3"/>
  <c r="C78" i="3" s="1"/>
  <c r="D76" i="3"/>
  <c r="D78" i="3" s="1"/>
  <c r="E76" i="3"/>
  <c r="F76" i="3"/>
  <c r="G76" i="3"/>
  <c r="H76" i="3"/>
  <c r="H77" i="3" s="1"/>
  <c r="I76" i="3"/>
  <c r="I77" i="3" s="1"/>
  <c r="C77" i="3"/>
  <c r="D77" i="3"/>
  <c r="E77" i="3"/>
  <c r="F77" i="3"/>
  <c r="G77" i="3"/>
  <c r="E78" i="3"/>
  <c r="F78" i="3"/>
  <c r="G78" i="3"/>
  <c r="H78" i="3"/>
  <c r="C79" i="3"/>
  <c r="C80" i="3" s="1"/>
  <c r="D79" i="3"/>
  <c r="D81" i="3" s="1"/>
  <c r="E79" i="3"/>
  <c r="E81" i="3" s="1"/>
  <c r="F79" i="3"/>
  <c r="F81" i="3" s="1"/>
  <c r="G79" i="3"/>
  <c r="G81" i="3" s="1"/>
  <c r="H79" i="3"/>
  <c r="I79" i="3"/>
  <c r="G80" i="3"/>
  <c r="H80" i="3"/>
  <c r="I80" i="3"/>
  <c r="C81" i="3"/>
  <c r="C29" i="3"/>
  <c r="D29" i="3"/>
  <c r="E29" i="3"/>
  <c r="F29" i="3"/>
  <c r="G29" i="3"/>
  <c r="H29" i="3"/>
  <c r="I29" i="3"/>
  <c r="B29" i="3"/>
  <c r="I49" i="3"/>
  <c r="B79" i="3"/>
  <c r="B72" i="3" s="1"/>
  <c r="B76" i="3"/>
  <c r="B73" i="3"/>
  <c r="B66" i="3" s="1"/>
  <c r="B69" i="3"/>
  <c r="B70" i="3" s="1"/>
  <c r="B64" i="3"/>
  <c r="B62" i="3"/>
  <c r="B63" i="3" s="1"/>
  <c r="B65" i="3" s="1"/>
  <c r="B60" i="3"/>
  <c r="B58" i="3"/>
  <c r="B59" i="3" s="1"/>
  <c r="B61" i="3" s="1"/>
  <c r="B56" i="3"/>
  <c r="B54" i="3"/>
  <c r="B52" i="3"/>
  <c r="B80" i="3"/>
  <c r="B81" i="3"/>
  <c r="B78" i="3"/>
  <c r="B77" i="3"/>
  <c r="B71" i="3"/>
  <c r="B55" i="3"/>
  <c r="B53" i="3"/>
  <c r="K65" i="3"/>
  <c r="L65" i="3" s="1"/>
  <c r="M65" i="3" s="1"/>
  <c r="N65" i="3" s="1"/>
  <c r="K64" i="3"/>
  <c r="K63" i="3" s="1"/>
  <c r="J63" i="3"/>
  <c r="M61" i="3"/>
  <c r="N61" i="3" s="1"/>
  <c r="L61" i="3"/>
  <c r="K61" i="3"/>
  <c r="K59" i="3"/>
  <c r="J59" i="3"/>
  <c r="J58" i="3" s="1"/>
  <c r="K57" i="3"/>
  <c r="L57" i="3" s="1"/>
  <c r="M57" i="3" s="1"/>
  <c r="N57" i="3" s="1"/>
  <c r="K55" i="3"/>
  <c r="J55" i="3"/>
  <c r="K93" i="3" l="1"/>
  <c r="L93" i="3" s="1"/>
  <c r="K89" i="3"/>
  <c r="K90" i="3"/>
  <c r="K58" i="3"/>
  <c r="L59" i="3"/>
  <c r="L58" i="3" s="1"/>
  <c r="H129" i="3"/>
  <c r="F130" i="3"/>
  <c r="D129" i="3"/>
  <c r="D130" i="3"/>
  <c r="C130" i="3"/>
  <c r="C129" i="3"/>
  <c r="G137" i="3"/>
  <c r="D134" i="3"/>
  <c r="H130" i="3"/>
  <c r="E134" i="3"/>
  <c r="C134" i="3"/>
  <c r="I128" i="3"/>
  <c r="F142" i="3"/>
  <c r="E125" i="3"/>
  <c r="E127" i="3" s="1"/>
  <c r="I121" i="3"/>
  <c r="I123" i="3" s="1"/>
  <c r="E142" i="3"/>
  <c r="C132" i="3"/>
  <c r="G128" i="3"/>
  <c r="D132" i="3"/>
  <c r="D142" i="3"/>
  <c r="E128" i="3"/>
  <c r="I134" i="3"/>
  <c r="J134" i="3" s="1"/>
  <c r="K134" i="3" s="1"/>
  <c r="B134" i="3"/>
  <c r="B132" i="3"/>
  <c r="B119" i="3"/>
  <c r="M122" i="3"/>
  <c r="L121" i="3"/>
  <c r="M126" i="3"/>
  <c r="L125" i="3"/>
  <c r="K143" i="3"/>
  <c r="B129" i="3"/>
  <c r="K121" i="3"/>
  <c r="K120" i="3" s="1"/>
  <c r="B136" i="3"/>
  <c r="M118" i="3"/>
  <c r="B121" i="3"/>
  <c r="B123" i="3" s="1"/>
  <c r="B125" i="3"/>
  <c r="B127" i="3" s="1"/>
  <c r="B139" i="3"/>
  <c r="J124" i="3"/>
  <c r="K124" i="3" s="1"/>
  <c r="J116" i="3"/>
  <c r="B142" i="3"/>
  <c r="C99" i="3"/>
  <c r="C98" i="3"/>
  <c r="D98" i="3"/>
  <c r="H99" i="3"/>
  <c r="C112" i="3"/>
  <c r="G108" i="3"/>
  <c r="I106" i="3"/>
  <c r="D105" i="3"/>
  <c r="F103" i="3"/>
  <c r="H101" i="3"/>
  <c r="G84" i="3"/>
  <c r="F106" i="3"/>
  <c r="C103" i="3"/>
  <c r="I97" i="3"/>
  <c r="I102" i="3"/>
  <c r="H90" i="3"/>
  <c r="H92" i="3" s="1"/>
  <c r="E111" i="3"/>
  <c r="G97" i="3"/>
  <c r="D94" i="3"/>
  <c r="D96" i="3" s="1"/>
  <c r="I112" i="3"/>
  <c r="D111" i="3"/>
  <c r="C106" i="3"/>
  <c r="G102" i="3"/>
  <c r="F97" i="3"/>
  <c r="D103" i="3"/>
  <c r="H112" i="3"/>
  <c r="E97" i="3"/>
  <c r="B103" i="3"/>
  <c r="B96" i="3"/>
  <c r="M95" i="3"/>
  <c r="K103" i="3"/>
  <c r="M91" i="3"/>
  <c r="L90" i="3"/>
  <c r="B98" i="3"/>
  <c r="B105" i="3"/>
  <c r="B108" i="3"/>
  <c r="M87" i="3"/>
  <c r="J85" i="3"/>
  <c r="B111" i="3"/>
  <c r="D68" i="3"/>
  <c r="D67" i="3"/>
  <c r="C68" i="3"/>
  <c r="C67" i="3"/>
  <c r="D72" i="3"/>
  <c r="I78" i="3"/>
  <c r="F75" i="3"/>
  <c r="C72" i="3"/>
  <c r="G68" i="3"/>
  <c r="I66" i="3"/>
  <c r="F80" i="3"/>
  <c r="I71" i="3"/>
  <c r="D70" i="3"/>
  <c r="H66" i="3"/>
  <c r="E63" i="3"/>
  <c r="E65" i="3" s="1"/>
  <c r="I59" i="3"/>
  <c r="I61" i="3" s="1"/>
  <c r="C70" i="3"/>
  <c r="I81" i="3"/>
  <c r="J81" i="3" s="1"/>
  <c r="D80" i="3"/>
  <c r="F66" i="3"/>
  <c r="E72" i="3"/>
  <c r="H81" i="3"/>
  <c r="E66" i="3"/>
  <c r="E80" i="3"/>
  <c r="I72" i="3"/>
  <c r="J72" i="3" s="1"/>
  <c r="K72" i="3" s="1"/>
  <c r="B57" i="3"/>
  <c r="B68" i="3"/>
  <c r="B67" i="3"/>
  <c r="B75" i="3"/>
  <c r="B74" i="3"/>
  <c r="L55" i="3"/>
  <c r="K81" i="3"/>
  <c r="J62" i="3"/>
  <c r="K62" i="3" s="1"/>
  <c r="L64" i="3"/>
  <c r="J54" i="3"/>
  <c r="L120" i="3" l="1"/>
  <c r="L89" i="3"/>
  <c r="N59" i="3"/>
  <c r="M59" i="3"/>
  <c r="M58" i="3" s="1"/>
  <c r="I129" i="3"/>
  <c r="I130" i="3"/>
  <c r="J130" i="3" s="1"/>
  <c r="K130" i="3" s="1"/>
  <c r="L130" i="3" s="1"/>
  <c r="M130" i="3" s="1"/>
  <c r="N130" i="3" s="1"/>
  <c r="E130" i="3"/>
  <c r="E129" i="3"/>
  <c r="G129" i="3"/>
  <c r="G130" i="3"/>
  <c r="F129" i="3"/>
  <c r="M120" i="3"/>
  <c r="L143" i="3"/>
  <c r="M117" i="3"/>
  <c r="N118" i="3"/>
  <c r="N117" i="3" s="1"/>
  <c r="N126" i="3"/>
  <c r="N125" i="3" s="1"/>
  <c r="M125" i="3"/>
  <c r="K116" i="3"/>
  <c r="J114" i="3"/>
  <c r="L124" i="3"/>
  <c r="M124" i="3" s="1"/>
  <c r="N124" i="3" s="1"/>
  <c r="N122" i="3"/>
  <c r="N121" i="3" s="1"/>
  <c r="M121" i="3"/>
  <c r="L134" i="3"/>
  <c r="G98" i="3"/>
  <c r="G99" i="3"/>
  <c r="E99" i="3"/>
  <c r="E98" i="3"/>
  <c r="H98" i="3"/>
  <c r="I99" i="3"/>
  <c r="J99" i="3" s="1"/>
  <c r="K99" i="3" s="1"/>
  <c r="L99" i="3" s="1"/>
  <c r="M99" i="3" s="1"/>
  <c r="N99" i="3" s="1"/>
  <c r="I98" i="3"/>
  <c r="F98" i="3"/>
  <c r="F99" i="3"/>
  <c r="M86" i="3"/>
  <c r="N87" i="3"/>
  <c r="N86" i="3" s="1"/>
  <c r="N91" i="3"/>
  <c r="N90" i="3" s="1"/>
  <c r="M90" i="3"/>
  <c r="L103" i="3"/>
  <c r="N95" i="3"/>
  <c r="M93" i="3"/>
  <c r="N93" i="3" s="1"/>
  <c r="K85" i="3"/>
  <c r="J83" i="3"/>
  <c r="I68" i="3"/>
  <c r="I67" i="3"/>
  <c r="E68" i="3"/>
  <c r="E67" i="3"/>
  <c r="F67" i="3"/>
  <c r="F68" i="3"/>
  <c r="G67" i="3"/>
  <c r="H67" i="3"/>
  <c r="H68" i="3"/>
  <c r="M64" i="3"/>
  <c r="L63" i="3"/>
  <c r="L62" i="3" s="1"/>
  <c r="N55" i="3"/>
  <c r="M55" i="3"/>
  <c r="K54" i="3"/>
  <c r="J52" i="3"/>
  <c r="L81" i="3"/>
  <c r="J68" i="3"/>
  <c r="K68" i="3" s="1"/>
  <c r="L68" i="3" s="1"/>
  <c r="M68" i="3" s="1"/>
  <c r="N68" i="3" s="1"/>
  <c r="L72" i="3"/>
  <c r="M89" i="3" l="1"/>
  <c r="N89" i="3" s="1"/>
  <c r="N58" i="3"/>
  <c r="M143" i="3"/>
  <c r="N120" i="3"/>
  <c r="J115" i="3"/>
  <c r="J141" i="3"/>
  <c r="J131" i="3" s="1"/>
  <c r="J128" i="3"/>
  <c r="J138" i="3"/>
  <c r="M134" i="3"/>
  <c r="K114" i="3"/>
  <c r="L116" i="3"/>
  <c r="M103" i="3"/>
  <c r="J84" i="3"/>
  <c r="J97" i="3"/>
  <c r="K83" i="3"/>
  <c r="L85" i="3"/>
  <c r="N64" i="3"/>
  <c r="N63" i="3" s="1"/>
  <c r="M63" i="3"/>
  <c r="M62" i="3" s="1"/>
  <c r="K52" i="3"/>
  <c r="L54" i="3"/>
  <c r="M72" i="3"/>
  <c r="J53" i="3"/>
  <c r="J79" i="3"/>
  <c r="J69" i="3" s="1"/>
  <c r="J66" i="3"/>
  <c r="M81" i="3"/>
  <c r="N62" i="3" l="1"/>
  <c r="N143" i="3"/>
  <c r="K115" i="3"/>
  <c r="K141" i="3"/>
  <c r="K131" i="3" s="1"/>
  <c r="K128" i="3"/>
  <c r="K138" i="3"/>
  <c r="L114" i="3"/>
  <c r="M116" i="3"/>
  <c r="N134" i="3"/>
  <c r="J135" i="3"/>
  <c r="L83" i="3"/>
  <c r="M85" i="3"/>
  <c r="N103" i="3"/>
  <c r="K84" i="3"/>
  <c r="K97" i="3"/>
  <c r="N81" i="3"/>
  <c r="J73" i="3"/>
  <c r="J67" i="3"/>
  <c r="N72" i="3"/>
  <c r="L52" i="3"/>
  <c r="M54" i="3"/>
  <c r="K53" i="3"/>
  <c r="K79" i="3"/>
  <c r="K69" i="3" s="1"/>
  <c r="K66" i="3"/>
  <c r="M114" i="3" l="1"/>
  <c r="N116" i="3"/>
  <c r="N114" i="3" s="1"/>
  <c r="L115" i="3"/>
  <c r="L141" i="3"/>
  <c r="L131" i="3" s="1"/>
  <c r="L128" i="3"/>
  <c r="L138" i="3"/>
  <c r="K135" i="3"/>
  <c r="L84" i="3"/>
  <c r="L97" i="3"/>
  <c r="M83" i="3"/>
  <c r="N85" i="3"/>
  <c r="N83" i="3" s="1"/>
  <c r="L53" i="3"/>
  <c r="L79" i="3"/>
  <c r="L69" i="3" s="1"/>
  <c r="L66" i="3"/>
  <c r="M52" i="3"/>
  <c r="N54" i="3"/>
  <c r="N52" i="3" s="1"/>
  <c r="K73" i="3"/>
  <c r="K67" i="3"/>
  <c r="M141" i="3" l="1"/>
  <c r="M131" i="3" s="1"/>
  <c r="M128" i="3"/>
  <c r="M138" i="3"/>
  <c r="M115" i="3"/>
  <c r="N141" i="3"/>
  <c r="N131" i="3" s="1"/>
  <c r="N128" i="3"/>
  <c r="N138" i="3"/>
  <c r="N115" i="3"/>
  <c r="L135" i="3"/>
  <c r="M97" i="3"/>
  <c r="M84" i="3"/>
  <c r="N97" i="3"/>
  <c r="N84" i="3"/>
  <c r="M79" i="3"/>
  <c r="M69" i="3" s="1"/>
  <c r="M66" i="3"/>
  <c r="M53" i="3"/>
  <c r="N79" i="3"/>
  <c r="N69" i="3" s="1"/>
  <c r="N66" i="3"/>
  <c r="N53" i="3"/>
  <c r="L67" i="3"/>
  <c r="L73" i="3"/>
  <c r="M135" i="3" l="1"/>
  <c r="N135" i="3"/>
  <c r="N67" i="3"/>
  <c r="N73" i="3"/>
  <c r="M67" i="3"/>
  <c r="M73" i="3"/>
  <c r="C179" i="1" l="1"/>
  <c r="D179" i="1"/>
  <c r="E179" i="1"/>
  <c r="F179" i="1"/>
  <c r="G179" i="1"/>
  <c r="H179" i="1"/>
  <c r="I179" i="1"/>
  <c r="C180" i="1"/>
  <c r="D180" i="1"/>
  <c r="E180" i="1"/>
  <c r="F180" i="1"/>
  <c r="G180" i="1"/>
  <c r="H180" i="1"/>
  <c r="I180" i="1"/>
  <c r="C181" i="1"/>
  <c r="D181" i="1"/>
  <c r="E181" i="1"/>
  <c r="F181" i="1"/>
  <c r="G181" i="1"/>
  <c r="H181" i="1"/>
  <c r="I181" i="1"/>
  <c r="C182" i="1"/>
  <c r="D182" i="1"/>
  <c r="E182" i="1"/>
  <c r="F182" i="1"/>
  <c r="G182" i="1"/>
  <c r="H182" i="1"/>
  <c r="I182" i="1"/>
  <c r="C183" i="1"/>
  <c r="D183" i="1"/>
  <c r="E183" i="1"/>
  <c r="F183" i="1"/>
  <c r="G183" i="1"/>
  <c r="H183" i="1"/>
  <c r="I183" i="1"/>
  <c r="C184" i="1"/>
  <c r="D184" i="1"/>
  <c r="E184" i="1"/>
  <c r="F184" i="1"/>
  <c r="G184" i="1"/>
  <c r="H184" i="1"/>
  <c r="I184" i="1"/>
  <c r="C185" i="1"/>
  <c r="D185" i="1"/>
  <c r="E185" i="1"/>
  <c r="F185" i="1"/>
  <c r="G185" i="1"/>
  <c r="H185" i="1"/>
  <c r="I185" i="1"/>
  <c r="C186" i="1"/>
  <c r="D186" i="1"/>
  <c r="E186" i="1"/>
  <c r="F186" i="1"/>
  <c r="G186" i="1"/>
  <c r="H186" i="1"/>
  <c r="I186" i="1"/>
  <c r="C187" i="1"/>
  <c r="D187" i="1"/>
  <c r="E187" i="1"/>
  <c r="F187" i="1"/>
  <c r="G187" i="1"/>
  <c r="H187" i="1"/>
  <c r="I187" i="1"/>
  <c r="C188" i="1"/>
  <c r="D188" i="1"/>
  <c r="E188" i="1"/>
  <c r="F188" i="1"/>
  <c r="G188" i="1"/>
  <c r="H188" i="1"/>
  <c r="I188" i="1"/>
  <c r="C189" i="1"/>
  <c r="D189" i="1"/>
  <c r="E189" i="1"/>
  <c r="F189" i="1"/>
  <c r="G189" i="1"/>
  <c r="H189" i="1"/>
  <c r="I189" i="1"/>
  <c r="C190" i="1"/>
  <c r="D190" i="1"/>
  <c r="E190" i="1"/>
  <c r="F190" i="1"/>
  <c r="G190" i="1"/>
  <c r="H190" i="1"/>
  <c r="I190" i="1"/>
  <c r="C191" i="1"/>
  <c r="D191" i="1"/>
  <c r="E191" i="1"/>
  <c r="F191" i="1"/>
  <c r="G191" i="1"/>
  <c r="H191" i="1"/>
  <c r="I191" i="1"/>
  <c r="C192" i="1"/>
  <c r="D192" i="1"/>
  <c r="E192" i="1"/>
  <c r="F192" i="1"/>
  <c r="G192" i="1"/>
  <c r="H192" i="1"/>
  <c r="I192" i="1"/>
  <c r="C193" i="1"/>
  <c r="D193" i="1"/>
  <c r="E193" i="1"/>
  <c r="F193" i="1"/>
  <c r="G193" i="1"/>
  <c r="H193" i="1"/>
  <c r="I193" i="1"/>
  <c r="C194" i="1"/>
  <c r="D194" i="1"/>
  <c r="E194" i="1"/>
  <c r="F194" i="1"/>
  <c r="G194" i="1"/>
  <c r="H194" i="1"/>
  <c r="I194" i="1"/>
  <c r="C195" i="1"/>
  <c r="D195" i="1"/>
  <c r="E195" i="1"/>
  <c r="F195" i="1"/>
  <c r="G195" i="1"/>
  <c r="H195" i="1"/>
  <c r="I195" i="1"/>
  <c r="C196" i="1"/>
  <c r="D196" i="1"/>
  <c r="E196" i="1"/>
  <c r="F196" i="1"/>
  <c r="G196" i="1"/>
  <c r="H196" i="1"/>
  <c r="I196" i="1"/>
  <c r="C197" i="1"/>
  <c r="D197" i="1"/>
  <c r="E197" i="1"/>
  <c r="F197" i="1"/>
  <c r="G197" i="1"/>
  <c r="H197" i="1"/>
  <c r="I197" i="1"/>
  <c r="C198" i="1"/>
  <c r="D198" i="1"/>
  <c r="E198" i="1"/>
  <c r="F198" i="1"/>
  <c r="G198" i="1"/>
  <c r="H198" i="1"/>
  <c r="I198" i="1"/>
  <c r="C199" i="1"/>
  <c r="D199" i="1"/>
  <c r="E199" i="1"/>
  <c r="F199" i="1"/>
  <c r="G199" i="1"/>
  <c r="H199" i="1"/>
  <c r="I199" i="1"/>
  <c r="C200" i="1"/>
  <c r="D200" i="1"/>
  <c r="E200" i="1"/>
  <c r="F200" i="1"/>
  <c r="G200" i="1"/>
  <c r="H200" i="1"/>
  <c r="I200" i="1"/>
  <c r="C201" i="1"/>
  <c r="D201" i="1"/>
  <c r="E201" i="1"/>
  <c r="F201" i="1"/>
  <c r="G201" i="1"/>
  <c r="H201" i="1"/>
  <c r="I201" i="1"/>
  <c r="C202" i="1"/>
  <c r="D202" i="1"/>
  <c r="E202" i="1"/>
  <c r="F202" i="1"/>
  <c r="G202" i="1"/>
  <c r="H202" i="1"/>
  <c r="I202" i="1"/>
  <c r="C203" i="1"/>
  <c r="D203" i="1"/>
  <c r="E203" i="1"/>
  <c r="F203" i="1"/>
  <c r="G203" i="1"/>
  <c r="H203" i="1"/>
  <c r="I203"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I132" i="1"/>
  <c r="B125" i="1"/>
  <c r="C125" i="1"/>
  <c r="D125" i="1"/>
  <c r="E125" i="1"/>
  <c r="F125" i="1"/>
  <c r="G125" i="1"/>
  <c r="J1" i="4" l="1"/>
  <c r="K1" i="4" s="1"/>
  <c r="L1" i="4" s="1"/>
  <c r="M1" i="4" s="1"/>
  <c r="N1" i="4" s="1"/>
  <c r="H1" i="4"/>
  <c r="G1" i="4" s="1"/>
  <c r="F1" i="4" s="1"/>
  <c r="E1" i="4" s="1"/>
  <c r="D1" i="4" s="1"/>
  <c r="C1" i="4" s="1"/>
  <c r="B1" i="4" s="1"/>
  <c r="A51" i="3" l="1"/>
  <c r="I19" i="3" l="1"/>
  <c r="H19" i="3"/>
  <c r="G19" i="3"/>
  <c r="F19" i="3"/>
  <c r="E19" i="3"/>
  <c r="D19" i="3"/>
  <c r="C19" i="3"/>
  <c r="B19" i="3"/>
  <c r="I18" i="3"/>
  <c r="H18" i="3"/>
  <c r="G18" i="3"/>
  <c r="F18" i="3"/>
  <c r="E18" i="3"/>
  <c r="D18" i="3"/>
  <c r="C18" i="3"/>
  <c r="B18" i="3"/>
  <c r="I16" i="3"/>
  <c r="H16" i="3"/>
  <c r="G16" i="3"/>
  <c r="F16" i="3"/>
  <c r="E16" i="3"/>
  <c r="D16" i="3"/>
  <c r="C16" i="3"/>
  <c r="B16" i="3"/>
  <c r="I15" i="3"/>
  <c r="H15" i="3"/>
  <c r="G15" i="3"/>
  <c r="F15" i="3"/>
  <c r="E15" i="3"/>
  <c r="D15" i="3"/>
  <c r="C15" i="3"/>
  <c r="B15" i="3"/>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I7" i="3"/>
  <c r="H7" i="3"/>
  <c r="G7" i="3"/>
  <c r="F7" i="3"/>
  <c r="E7" i="3"/>
  <c r="D7" i="3"/>
  <c r="C7" i="3"/>
  <c r="B7" i="3"/>
  <c r="I6" i="3"/>
  <c r="H6" i="3"/>
  <c r="G6" i="3"/>
  <c r="F6" i="3"/>
  <c r="E6" i="3"/>
  <c r="D6" i="3"/>
  <c r="C6" i="3"/>
  <c r="B6" i="3"/>
  <c r="I4" i="3"/>
  <c r="H4" i="3"/>
  <c r="G4" i="3"/>
  <c r="F4" i="3"/>
  <c r="E4" i="3"/>
  <c r="D4" i="3"/>
  <c r="C4" i="3"/>
  <c r="B4" i="3"/>
  <c r="I48" i="3" l="1"/>
  <c r="H48" i="3"/>
  <c r="G48" i="3"/>
  <c r="F48" i="3"/>
  <c r="E48" i="3"/>
  <c r="D48" i="3"/>
  <c r="C48" i="3"/>
  <c r="B48" i="3"/>
  <c r="B49" i="3" s="1"/>
  <c r="K34" i="3"/>
  <c r="L34" i="3" s="1"/>
  <c r="M34" i="3" s="1"/>
  <c r="N34" i="3" s="1"/>
  <c r="J32" i="3"/>
  <c r="K30" i="3"/>
  <c r="L30" i="3" s="1"/>
  <c r="M30" i="3" s="1"/>
  <c r="N30" i="3" s="1"/>
  <c r="J28" i="3"/>
  <c r="J24" i="3"/>
  <c r="K26" i="3"/>
  <c r="L26" i="3" s="1"/>
  <c r="M26" i="3" s="1"/>
  <c r="N26" i="3" s="1"/>
  <c r="N24" i="3" l="1"/>
  <c r="F49" i="3"/>
  <c r="C49" i="3"/>
  <c r="E49" i="3"/>
  <c r="D49" i="3"/>
  <c r="G49" i="3"/>
  <c r="H49" i="3"/>
  <c r="L24" i="3"/>
  <c r="M24" i="3"/>
  <c r="K24"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J23" i="3"/>
  <c r="J1" i="3"/>
  <c r="K1" i="3" s="1"/>
  <c r="L1" i="3" s="1"/>
  <c r="M1" i="3" s="1"/>
  <c r="N1" i="3" s="1"/>
  <c r="H1" i="3"/>
  <c r="G1" i="3" s="1"/>
  <c r="F1" i="3" s="1"/>
  <c r="E1" i="3" s="1"/>
  <c r="D1" i="3" s="1"/>
  <c r="C1" i="3" s="1"/>
  <c r="B1" i="3" s="1"/>
  <c r="L41" i="3" l="1"/>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J21" i="3"/>
  <c r="J22" i="3" s="1"/>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K28" i="3"/>
  <c r="K27" i="3" s="1"/>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B163" i="1"/>
  <c r="I161" i="1"/>
  <c r="I163" i="1" s="1"/>
  <c r="H161" i="1"/>
  <c r="H163" i="1" s="1"/>
  <c r="H164" i="1" s="1"/>
  <c r="H165" i="1" s="1"/>
  <c r="G161" i="1"/>
  <c r="G163" i="1" s="1"/>
  <c r="F161" i="1"/>
  <c r="F163" i="1" s="1"/>
  <c r="E161" i="1"/>
  <c r="E163" i="1" s="1"/>
  <c r="D161" i="1"/>
  <c r="D163" i="1" s="1"/>
  <c r="C161" i="1"/>
  <c r="C163" i="1" s="1"/>
  <c r="B161" i="1"/>
  <c r="H125" i="1"/>
  <c r="I125" i="1"/>
  <c r="H154" i="1"/>
  <c r="E154" i="1"/>
  <c r="I150" i="1"/>
  <c r="I153" i="1" s="1"/>
  <c r="I154" i="1" s="1"/>
  <c r="H150" i="1"/>
  <c r="H153" i="1" s="1"/>
  <c r="G150" i="1"/>
  <c r="G153" i="1" s="1"/>
  <c r="G154" i="1" s="1"/>
  <c r="F150" i="1"/>
  <c r="F153" i="1" s="1"/>
  <c r="F154" i="1" s="1"/>
  <c r="E150" i="1"/>
  <c r="E153" i="1" s="1"/>
  <c r="D150" i="1"/>
  <c r="D153" i="1" s="1"/>
  <c r="D154" i="1" s="1"/>
  <c r="C150" i="1"/>
  <c r="C153" i="1" s="1"/>
  <c r="C154" i="1" s="1"/>
  <c r="B150" i="1"/>
  <c r="B153" i="1" s="1"/>
  <c r="B154" i="1" s="1"/>
  <c r="J3" i="3" l="1"/>
  <c r="J4" i="3" s="1"/>
  <c r="I36" i="3"/>
  <c r="I164" i="1"/>
  <c r="I165" i="1" s="1"/>
  <c r="B164" i="1"/>
  <c r="B165" i="1" s="1"/>
  <c r="M41" i="3"/>
  <c r="C36" i="3"/>
  <c r="G36" i="3"/>
  <c r="H36" i="3"/>
  <c r="D36" i="3"/>
  <c r="F36" i="3"/>
  <c r="E36" i="3"/>
  <c r="L32" i="3"/>
  <c r="L31" i="3" s="1"/>
  <c r="L28" i="3"/>
  <c r="L27" i="3" s="1"/>
  <c r="K21" i="3"/>
  <c r="K22" i="3" s="1"/>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21" i="3" s="1"/>
  <c r="G107" i="1"/>
  <c r="G21" i="3" s="1"/>
  <c r="F107" i="1"/>
  <c r="F21" i="3" s="1"/>
  <c r="F37" i="3" s="1"/>
  <c r="E107" i="1"/>
  <c r="E21" i="3" s="1"/>
  <c r="D107" i="1"/>
  <c r="D21" i="3" s="1"/>
  <c r="C107" i="1"/>
  <c r="C21" i="3" s="1"/>
  <c r="C37" i="3" s="1"/>
  <c r="B107" i="1"/>
  <c r="B21" i="3" s="1"/>
  <c r="B37" i="3" s="1"/>
  <c r="I107" i="1"/>
  <c r="I21" i="3" s="1"/>
  <c r="I50" i="3" s="1"/>
  <c r="J50" i="3" s="1"/>
  <c r="I139" i="1"/>
  <c r="I142" i="1" s="1"/>
  <c r="H139" i="1"/>
  <c r="H142" i="1" s="1"/>
  <c r="G139" i="1"/>
  <c r="G142" i="1" s="1"/>
  <c r="F139" i="1"/>
  <c r="F142" i="1" s="1"/>
  <c r="E139" i="1"/>
  <c r="E142" i="1" s="1"/>
  <c r="D139" i="1"/>
  <c r="D142" i="1" s="1"/>
  <c r="C139" i="1"/>
  <c r="C142" i="1" s="1"/>
  <c r="B139" i="1"/>
  <c r="B142" i="1" s="1"/>
  <c r="N41" i="3" l="1"/>
  <c r="D50" i="3"/>
  <c r="D44" i="3"/>
  <c r="D22" i="3"/>
  <c r="D47" i="3"/>
  <c r="D40" i="3"/>
  <c r="D37" i="3"/>
  <c r="C50" i="3"/>
  <c r="C22" i="3"/>
  <c r="C47" i="3"/>
  <c r="C44" i="3"/>
  <c r="C40" i="3"/>
  <c r="E50" i="3"/>
  <c r="E22" i="3"/>
  <c r="E47" i="3"/>
  <c r="E40" i="3"/>
  <c r="E44" i="3"/>
  <c r="G44" i="3"/>
  <c r="G50" i="3"/>
  <c r="G40" i="3"/>
  <c r="G47" i="3"/>
  <c r="G22" i="3"/>
  <c r="H50" i="3"/>
  <c r="H22" i="3"/>
  <c r="H44" i="3"/>
  <c r="H40" i="3"/>
  <c r="H47" i="3"/>
  <c r="E37" i="3"/>
  <c r="G37" i="3"/>
  <c r="J48" i="3"/>
  <c r="F50" i="3"/>
  <c r="F40" i="3"/>
  <c r="F22" i="3"/>
  <c r="F44" i="3"/>
  <c r="F47" i="3"/>
  <c r="H37" i="3"/>
  <c r="B22" i="3"/>
  <c r="B50" i="3"/>
  <c r="B47" i="3"/>
  <c r="B44" i="3"/>
  <c r="B40" i="3"/>
  <c r="K48" i="3"/>
  <c r="I44" i="3"/>
  <c r="I40" i="3"/>
  <c r="I47" i="3"/>
  <c r="J47" i="3" s="1"/>
  <c r="I37" i="3"/>
  <c r="J37" i="3" s="1"/>
  <c r="M32" i="3"/>
  <c r="M31" i="3" s="1"/>
  <c r="N32" i="3"/>
  <c r="L21" i="3"/>
  <c r="L22" i="3" s="1"/>
  <c r="M28" i="3"/>
  <c r="M27" i="3" s="1"/>
  <c r="N28" i="3"/>
  <c r="H124" i="1"/>
  <c r="H131" i="1" s="1"/>
  <c r="H132" i="1" s="1"/>
  <c r="C124" i="1"/>
  <c r="I124" i="1"/>
  <c r="E124" i="1"/>
  <c r="F124" i="1"/>
  <c r="D124" i="1"/>
  <c r="B124" i="1"/>
  <c r="B131" i="1" s="1"/>
  <c r="G124" i="1"/>
  <c r="K38" i="3" l="1"/>
  <c r="J38" i="3"/>
  <c r="N31" i="3"/>
  <c r="K47" i="3"/>
  <c r="J45" i="3"/>
  <c r="K37" i="3"/>
  <c r="J35" i="3"/>
  <c r="N27" i="3"/>
  <c r="M21" i="3"/>
  <c r="M22" i="3" s="1"/>
  <c r="E131" i="1"/>
  <c r="E132" i="1" s="1"/>
  <c r="G131" i="1"/>
  <c r="G132" i="1" s="1"/>
  <c r="D131" i="1"/>
  <c r="D132" i="1" s="1"/>
  <c r="F131" i="1"/>
  <c r="F132" i="1" s="1"/>
  <c r="I131" i="1"/>
  <c r="B132" i="1" s="1"/>
  <c r="C131" i="1"/>
  <c r="C132" i="1" s="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D4" i="1"/>
  <c r="C4" i="1"/>
  <c r="B4" i="1"/>
  <c r="I4" i="1"/>
  <c r="J36" i="3" l="1"/>
  <c r="J46" i="3"/>
  <c r="H59" i="1"/>
  <c r="G59" i="1"/>
  <c r="F59" i="1"/>
  <c r="H10" i="1"/>
  <c r="H12" i="1" s="1"/>
  <c r="F10" i="1"/>
  <c r="F12" i="1" s="1"/>
  <c r="F20" i="1" s="1"/>
  <c r="L47" i="3"/>
  <c r="K45" i="3"/>
  <c r="J42" i="3"/>
  <c r="B10" i="1"/>
  <c r="B143" i="1" s="1"/>
  <c r="C59" i="1"/>
  <c r="C60" i="1" s="1"/>
  <c r="M48" i="3"/>
  <c r="B59" i="1"/>
  <c r="B60" i="1" s="1"/>
  <c r="D10" i="1"/>
  <c r="D143" i="1" s="1"/>
  <c r="D59" i="1"/>
  <c r="D60" i="1" s="1"/>
  <c r="L48" i="3"/>
  <c r="I10" i="1"/>
  <c r="I12" i="1" s="1"/>
  <c r="I20" i="1" s="1"/>
  <c r="C10" i="1"/>
  <c r="C12" i="1" s="1"/>
  <c r="C20" i="1" s="1"/>
  <c r="E10" i="1"/>
  <c r="E143" i="1" s="1"/>
  <c r="E59" i="1"/>
  <c r="E60" i="1" s="1"/>
  <c r="N21" i="3"/>
  <c r="N22" i="3" s="1"/>
  <c r="L37" i="3"/>
  <c r="K35" i="3"/>
  <c r="E94" i="1"/>
  <c r="E96" i="1" s="1"/>
  <c r="E97" i="1" s="1"/>
  <c r="D94" i="1"/>
  <c r="D96" i="1" s="1"/>
  <c r="D97" i="1" s="1"/>
  <c r="C94" i="1"/>
  <c r="C96" i="1" s="1"/>
  <c r="C97" i="1" s="1"/>
  <c r="B94" i="1"/>
  <c r="B96" i="1" s="1"/>
  <c r="B97" i="1" s="1"/>
  <c r="F94" i="1"/>
  <c r="F96" i="1" s="1"/>
  <c r="F97" i="1" s="1"/>
  <c r="G94" i="1"/>
  <c r="G96" i="1" s="1"/>
  <c r="G97" i="1" s="1"/>
  <c r="F60" i="1"/>
  <c r="G10" i="1"/>
  <c r="I59" i="1"/>
  <c r="I60" i="1" s="1"/>
  <c r="G60" i="1"/>
  <c r="H60" i="1"/>
  <c r="K46" i="3" l="1"/>
  <c r="M38" i="3"/>
  <c r="L38" i="3"/>
  <c r="C143" i="1"/>
  <c r="H20" i="1"/>
  <c r="H64" i="1"/>
  <c r="H76" i="1" s="1"/>
  <c r="H94" i="1" s="1"/>
  <c r="H96" i="1" s="1"/>
  <c r="H143" i="1"/>
  <c r="I143" i="1"/>
  <c r="E12" i="1"/>
  <c r="E20" i="1" s="1"/>
  <c r="B12" i="1"/>
  <c r="B20" i="1" s="1"/>
  <c r="D12" i="1"/>
  <c r="D20" i="1" s="1"/>
  <c r="F143" i="1"/>
  <c r="K36" i="3"/>
  <c r="K42" i="3"/>
  <c r="J43" i="3"/>
  <c r="J44" i="3"/>
  <c r="M47" i="3"/>
  <c r="L45" i="3"/>
  <c r="M37" i="3"/>
  <c r="L35" i="3"/>
  <c r="I64" i="1"/>
  <c r="I76" i="1" s="1"/>
  <c r="I94" i="1" s="1"/>
  <c r="G12" i="1"/>
  <c r="G20" i="1" s="1"/>
  <c r="G143" i="1"/>
  <c r="I95" i="1"/>
  <c r="H97" i="1"/>
  <c r="L36" i="3" l="1"/>
  <c r="L46" i="3"/>
  <c r="L42" i="3"/>
  <c r="L44" i="3" s="1"/>
  <c r="I96" i="1"/>
  <c r="I97" i="1" s="1"/>
  <c r="N47" i="3"/>
  <c r="M45" i="3"/>
  <c r="N48" i="3"/>
  <c r="K43" i="3"/>
  <c r="K44" i="3"/>
  <c r="N37" i="3"/>
  <c r="N35" i="3" s="1"/>
  <c r="M35" i="3"/>
  <c r="H1" i="1"/>
  <c r="G1" i="1" s="1"/>
  <c r="F1" i="1" s="1"/>
  <c r="E1" i="1" s="1"/>
  <c r="D1" i="1" s="1"/>
  <c r="C1" i="1" s="1"/>
  <c r="B1" i="1" s="1"/>
  <c r="M46" i="3" l="1"/>
  <c r="N38" i="3"/>
  <c r="L43" i="3"/>
  <c r="M36" i="3"/>
  <c r="M42" i="3"/>
  <c r="N45" i="3"/>
  <c r="N36" i="3"/>
  <c r="N42" i="3" l="1"/>
  <c r="N44" i="3" s="1"/>
  <c r="N46" i="3"/>
  <c r="M44" i="3"/>
  <c r="M43" i="3"/>
  <c r="K39" i="3"/>
  <c r="M39" i="3"/>
  <c r="N39" i="3"/>
  <c r="M40" i="3"/>
  <c r="N40" i="3"/>
  <c r="K40" i="3"/>
  <c r="J39" i="3"/>
  <c r="L39" i="3"/>
  <c r="J40" i="3"/>
  <c r="L40" i="3"/>
  <c r="N43" i="3" l="1"/>
  <c r="N100" i="3"/>
  <c r="N104" i="3"/>
  <c r="L110" i="3"/>
  <c r="K110" i="3"/>
  <c r="K100" i="3"/>
  <c r="K104" i="3"/>
  <c r="N110" i="3"/>
  <c r="J110" i="3"/>
  <c r="J100" i="3"/>
  <c r="J104" i="3" s="1"/>
  <c r="M110" i="3"/>
  <c r="L100" i="3" l="1"/>
  <c r="L104" i="3" s="1"/>
  <c r="M100" i="3"/>
  <c r="M104" i="3" l="1"/>
  <c r="L76" i="3" l="1"/>
  <c r="L77" i="3" s="1"/>
  <c r="K76" i="3"/>
  <c r="K77" i="3"/>
  <c r="J76" i="3"/>
  <c r="J77" i="3"/>
  <c r="N76" i="3"/>
  <c r="M76" i="3"/>
  <c r="N77" i="3" l="1"/>
  <c r="M77" i="3"/>
  <c r="L107" i="3"/>
  <c r="K107" i="3"/>
  <c r="J107" i="3"/>
  <c r="J108" i="3"/>
  <c r="N107" i="3"/>
  <c r="N108" i="3" s="1"/>
  <c r="M107" i="3"/>
  <c r="K108" i="3" l="1"/>
  <c r="L108" i="3"/>
  <c r="M108" i="3"/>
  <c r="M173" i="3"/>
  <c r="L173" i="3"/>
  <c r="M174" i="3" s="1"/>
  <c r="K173" i="3"/>
  <c r="L174" i="3" s="1"/>
  <c r="K174" i="3"/>
  <c r="N173" i="3"/>
  <c r="J173" i="3"/>
  <c r="J174" i="3"/>
  <c r="N174" i="3" l="1"/>
  <c r="N192" i="3" l="1"/>
  <c r="L192" i="3"/>
  <c r="M192" i="3"/>
  <c r="N193" i="3" s="1"/>
  <c r="K192" i="3"/>
  <c r="J192" i="3"/>
  <c r="J14" i="3" s="1"/>
  <c r="M193" i="3" l="1"/>
  <c r="J16" i="3"/>
  <c r="J15" i="3"/>
  <c r="K193" i="3"/>
  <c r="J193" i="3"/>
  <c r="L193" i="3"/>
  <c r="N195" i="3"/>
  <c r="N185" i="3" s="1"/>
  <c r="N187" i="3" s="1"/>
  <c r="M195" i="3"/>
  <c r="M185" i="3" s="1"/>
  <c r="M189" i="3" s="1"/>
  <c r="L195" i="3"/>
  <c r="L185" i="3"/>
  <c r="L187" i="3" s="1"/>
  <c r="L189" i="3"/>
  <c r="L191" i="3" s="1"/>
  <c r="K195" i="3"/>
  <c r="K185" i="3"/>
  <c r="K189" i="3" s="1"/>
  <c r="K191" i="3" s="1"/>
  <c r="J195" i="3"/>
  <c r="J196" i="3" s="1"/>
  <c r="N186" i="3" l="1"/>
  <c r="N189" i="3"/>
  <c r="N191" i="3" s="1"/>
  <c r="M196" i="3"/>
  <c r="L196" i="3"/>
  <c r="M190" i="3"/>
  <c r="N196" i="3"/>
  <c r="L190" i="3"/>
  <c r="K196" i="3"/>
  <c r="J185" i="3"/>
  <c r="M191" i="3"/>
  <c r="M186" i="3"/>
  <c r="M187" i="3"/>
  <c r="L186" i="3"/>
  <c r="K187" i="3"/>
  <c r="N190" i="3" l="1"/>
  <c r="J187" i="3"/>
  <c r="J189" i="3"/>
  <c r="J186" i="3"/>
  <c r="K186" i="3"/>
  <c r="J201" i="3"/>
  <c r="J202" i="3" s="1"/>
  <c r="J5" i="3" l="1"/>
  <c r="J6" i="3" s="1"/>
  <c r="J191" i="3"/>
  <c r="J190" i="3"/>
  <c r="K190" i="3"/>
  <c r="J214" i="3"/>
  <c r="J204" i="3" s="1"/>
  <c r="J7" i="3" l="1"/>
  <c r="J205" i="3"/>
  <c r="J206" i="3"/>
  <c r="J208" i="3"/>
  <c r="J8" i="3"/>
  <c r="J215" i="3"/>
  <c r="J17" i="3"/>
  <c r="J19" i="3" l="1"/>
  <c r="J18" i="3"/>
  <c r="J11" i="3"/>
  <c r="J9" i="3"/>
  <c r="J10" i="3"/>
  <c r="J210" i="3"/>
  <c r="J209" i="3"/>
  <c r="K201" i="3" l="1"/>
  <c r="K202" i="3" s="1"/>
  <c r="K5" i="3"/>
  <c r="K211" i="3"/>
  <c r="K212" i="3" s="1"/>
  <c r="K14" i="3"/>
  <c r="K15" i="3" s="1"/>
  <c r="L211" i="3"/>
  <c r="K4" i="3"/>
  <c r="K214" i="3"/>
  <c r="K3" i="3"/>
  <c r="K7" i="3" s="1"/>
  <c r="K204" i="3" l="1"/>
  <c r="K215" i="3"/>
  <c r="K17" i="3"/>
  <c r="L212" i="3"/>
  <c r="L14" i="3"/>
  <c r="K16" i="3"/>
  <c r="L214" i="3"/>
  <c r="K208" i="3"/>
  <c r="K6" i="3"/>
  <c r="L201" i="3"/>
  <c r="L3" i="3"/>
  <c r="L4" i="3" s="1"/>
  <c r="M211" i="3" l="1"/>
  <c r="M3" i="3"/>
  <c r="M4" i="3" s="1"/>
  <c r="M214" i="3"/>
  <c r="M201" i="3"/>
  <c r="L5" i="3"/>
  <c r="L202" i="3"/>
  <c r="K209" i="3"/>
  <c r="K210" i="3"/>
  <c r="L204" i="3"/>
  <c r="L17" i="3"/>
  <c r="L215" i="3"/>
  <c r="L16" i="3"/>
  <c r="L15" i="3"/>
  <c r="K19" i="3"/>
  <c r="K18" i="3"/>
  <c r="K8" i="3"/>
  <c r="K206" i="3"/>
  <c r="K205" i="3"/>
  <c r="L8" i="3" l="1"/>
  <c r="L205" i="3"/>
  <c r="L206" i="3"/>
  <c r="K9" i="3"/>
  <c r="K10" i="3"/>
  <c r="K11" i="3"/>
  <c r="L18" i="3"/>
  <c r="L19" i="3"/>
  <c r="L208" i="3"/>
  <c r="L11" i="3"/>
  <c r="L7" i="3"/>
  <c r="L6" i="3"/>
  <c r="M202" i="3"/>
  <c r="M5" i="3"/>
  <c r="M215" i="3"/>
  <c r="M204" i="3"/>
  <c r="M17" i="3"/>
  <c r="N211" i="3"/>
  <c r="N201" i="3"/>
  <c r="N3" i="3"/>
  <c r="N4" i="3" s="1"/>
  <c r="N214" i="3"/>
  <c r="M212" i="3"/>
  <c r="M14" i="3"/>
  <c r="N204" i="3" l="1"/>
  <c r="N17" i="3"/>
  <c r="N215" i="3"/>
  <c r="M16" i="3"/>
  <c r="M15" i="3"/>
  <c r="L209" i="3"/>
  <c r="L210" i="3"/>
  <c r="N208" i="3"/>
  <c r="N5" i="3"/>
  <c r="N202" i="3"/>
  <c r="N14" i="3"/>
  <c r="N212" i="3"/>
  <c r="M19" i="3"/>
  <c r="M18" i="3"/>
  <c r="M205" i="3"/>
  <c r="M206" i="3"/>
  <c r="M8" i="3"/>
  <c r="M208" i="3"/>
  <c r="M6" i="3"/>
  <c r="M7" i="3"/>
  <c r="L10" i="3"/>
  <c r="L9" i="3"/>
  <c r="N210" i="3" l="1"/>
  <c r="N209" i="3"/>
  <c r="M210" i="3"/>
  <c r="M209" i="3"/>
  <c r="N18" i="3"/>
  <c r="N19" i="3"/>
  <c r="N6" i="3"/>
  <c r="N7" i="3"/>
  <c r="M9" i="3"/>
  <c r="M10" i="3"/>
  <c r="M11" i="3"/>
  <c r="N16" i="3"/>
  <c r="N15" i="3"/>
  <c r="N206" i="3"/>
  <c r="N8" i="3"/>
  <c r="N205" i="3"/>
  <c r="N10" i="3" l="1"/>
  <c r="N9" i="3"/>
  <c r="N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<sst xmlns="http://schemas.openxmlformats.org/spreadsheetml/2006/main" count="639" uniqueCount="294">
  <si>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</si>
  <si>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</si>
  <si>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</si>
  <si>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</si>
  <si>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</si>
  <si>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</si>
  <si>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</si>
  <si>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</si>
  <si>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</si>
  <si>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</si>
  <si>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</si>
  <si>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</si>
  <si>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</si>
  <si>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</si>
  <si>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</si>
  <si>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</si>
  <si>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</si>
  <si>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</si>
  <si>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</si>
  <si>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</si>
  <si>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</si>
  <si>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</si>
  <si>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</si>
  <si>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</si>
  <si>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</si>
  <si>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</si>
  <si>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</si>
  <si>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</si>
  <si>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</si>
  <si>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</si>
  <si>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</si>
  <si>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</si>
  <si>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</si>
  <si>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</si>
  <si>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</si>
  <si>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</si>
  <si>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</si>
  <si>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</si>
  <si>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</si>
  <si>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</si>
  <si>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</si>
  <si>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</si>
  <si>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</si>
  <si>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</si>
  <si>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</si>
  <si>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</si>
  <si>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</si>
  <si>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</si>
  <si>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</si>
  <si>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</si>
  <si>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</si>
  <si>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</si>
  <si>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</si>
  <si>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</si>
  <si>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</si>
  <si>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</si>
  <si>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</si>
  <si>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</si>
  <si>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</si>
  <si>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</si>
  <si>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</si>
  <si>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</si>
  <si>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</si>
  <si>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</si>
  <si>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</si>
  <si>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</si>
  <si>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</si>
  <si>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</si>
  <si>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</si>
  <si>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</si>
  <si>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</si>
  <si>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</si>
  <si>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</si>
  <si>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</si>
  <si>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</si>
  <si>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</si>
  <si>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</si>
  <si>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</si>
  <si>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</si>
  <si>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</si>
  <si>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</si>
  <si>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</si>
  <si>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</si>
  <si>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</si>
  <si>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</si>
  <si>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</si>
  <si>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</si>
  <si>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</si>
  <si>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</si>
  <si>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</si>
  <si>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</si>
  <si>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</si>
  <si>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</si>
  <si>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</si>
  <si>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</si>
  <si>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</si>
  <si>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</si>
  <si>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</si>
  <si>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</si>
  <si>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</si>
  <si>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</si>
  <si>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</si>
  <si>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</si>
  <si>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</si>
  <si>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</si>
  <si>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</si>
  <si>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</si>
  <si>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</si>
  <si>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</si>
  <si>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</si>
  <si>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</si>
  <si>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</si>
  <si>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</si>
  <si>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</si>
  <si>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</si>
  <si>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</si>
  <si>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</si>
  <si>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</si>
  <si>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</si>
  <si>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</si>
  <si>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</si>
  <si>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</si>
  <si>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</si>
  <si>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</si>
  <si>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</si>
  <si>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</si>
  <si>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</si>
  <si>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</si>
  <si>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</si>
  <si>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</si>
  <si>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</si>
  <si>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</si>
  <si>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</si>
  <si>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</si>
  <si>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</si>
  <si>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</si>
  <si>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</si>
  <si>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</si>
  <si>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</si>
  <si>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</si>
  <si>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</si>
  <si>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</si>
  <si>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</si>
  <si>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</si>
  <si>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</si>
  <si>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</si>
  <si>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</si>
  <si>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</si>
  <si>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</si>
  <si>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</si>
  <si>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</si>
  <si>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</si>
  <si>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</si>
  <si>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</si>
  <si>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</si>
  <si>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</si>
  <si>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</si>
  <si>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</si>
  <si>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</si>
  <si>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</si>
  <si>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</si>
  <si>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</si>
  <si>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</si>
  <si>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</si>
  <si>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</si>
  <si>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</si>
  <si>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</si>
  <si>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</si>
  <si>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</si>
  <si>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</si>
  <si>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</si>
  <si>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</si>
  <si>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</si>
  <si>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</si>
  <si>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</si>
  <si>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</si>
  <si>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</si>
  <si>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</si>
  <si>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</si>
  <si>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</si>
  <si>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</si>
  <si>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</si>
  <si>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</si>
  <si>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</si>
  <si>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</si>
  <si>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</si>
  <si>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</si>
  <si>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</si>
  <si>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</si>
  <si>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</si>
  <si>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</si>
  <si>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</si>
  <si>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</si>
  <si>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</si>
  <si>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</si>
  <si>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</si>
  <si>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</si>
  <si>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</si>
  <si>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</si>
  <si>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</si>
  <si>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</si>
  <si>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</si>
  <si>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</si>
  <si>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</si>
  <si>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</si>
  <si>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</si>
  <si>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</si>
  <si>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</si>
  <si>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</si>
  <si>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</si>
  <si>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</si>
  <si>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</si>
  <si>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</si>
  <si>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</si>
  <si>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</si>
  <si>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</si>
  <si>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</si>
  <si>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</si>
  <si>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</si>
  <si>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</si>
  <si>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Revenue Growth</t>
  </si>
  <si>
    <t>Q1FY24 NIKE Inc. Conference Call on 28 Sep 2023</t>
  </si>
  <si>
    <t>FY24 Q3 Earnings Release Conference Call Transcript on 21 March 2024</t>
  </si>
  <si>
    <t>FY2023</t>
  </si>
  <si>
    <t>Q1 FY24</t>
  </si>
  <si>
    <t>Q3 FY24</t>
  </si>
  <si>
    <t>FY 2022</t>
  </si>
  <si>
    <t>EBIT Margin</t>
  </si>
  <si>
    <t>Total Debt</t>
  </si>
  <si>
    <t>Add:Shareholders' Equity</t>
  </si>
  <si>
    <t>Less:Cash &amp; Cash Equivalent and Short Investment</t>
  </si>
  <si>
    <t>Total Invested Capital</t>
  </si>
  <si>
    <t>Return on Invested Capital</t>
  </si>
  <si>
    <t>Income Tax</t>
  </si>
  <si>
    <t>Europe, Middle East &amp; Africa(EMEA)</t>
  </si>
  <si>
    <t>Asia Pacific &amp; Latin America(APLA)</t>
  </si>
  <si>
    <t>Diluted Weighted Avg. Common Shares Outstanding</t>
  </si>
  <si>
    <t>Q1FY23</t>
  </si>
  <si>
    <t>Diluted Earningper share(DPS)</t>
  </si>
  <si>
    <t>Effective Tax Rate</t>
  </si>
  <si>
    <t>Income Tax Expense</t>
  </si>
  <si>
    <t>Interest expense(income) net</t>
  </si>
  <si>
    <t>Overall Revenue</t>
  </si>
  <si>
    <t>Overall EBIT</t>
  </si>
  <si>
    <t>LIABILITIES AND SHAREHOLDERS’ EQUITY</t>
  </si>
  <si>
    <t xml:space="preserve">Cash and equivalents </t>
  </si>
  <si>
    <t xml:space="preserve">Short-term investments </t>
  </si>
  <si>
    <t xml:space="preserve">Accounts receivable, net </t>
  </si>
  <si>
    <t xml:space="preserve">Inventories </t>
  </si>
  <si>
    <t xml:space="preserve">Prepaid expenses and other current assets </t>
  </si>
  <si>
    <t xml:space="preserve">Total current assets </t>
  </si>
  <si>
    <t xml:space="preserve">Property, plant and equipment, net </t>
  </si>
  <si>
    <t xml:space="preserve">Identifiable intangible assets, net </t>
  </si>
  <si>
    <t xml:space="preserve">Goodwill </t>
  </si>
  <si>
    <t xml:space="preserve">Deferred income taxes and other assets </t>
  </si>
  <si>
    <t xml:space="preserve">TOTAL ASSETS </t>
  </si>
  <si>
    <t xml:space="preserve">Notes payable </t>
  </si>
  <si>
    <t xml:space="preserve">Accounts payable </t>
  </si>
  <si>
    <t xml:space="preserve">Current portion of operating lease liabilities </t>
  </si>
  <si>
    <t xml:space="preserve">Income taxes payable </t>
  </si>
  <si>
    <t xml:space="preserve">Total current liabilities </t>
  </si>
  <si>
    <t xml:space="preserve">Long-term debt </t>
  </si>
  <si>
    <t xml:space="preserve">Operating lease liabilities </t>
  </si>
  <si>
    <t xml:space="preserve">Shareholders’ equity </t>
  </si>
  <si>
    <t>TOTAL LIABILITIES AND SHAREHOLDERS’ EQUITY</t>
  </si>
  <si>
    <t xml:space="preserve">Redeemable preferred stock </t>
  </si>
  <si>
    <t>28/02/2023</t>
  </si>
  <si>
    <t>29/02/2024</t>
  </si>
  <si>
    <t>Change</t>
  </si>
  <si>
    <t>ending 29/02/2024</t>
  </si>
  <si>
    <t xml:space="preserve">3 months ending Q1-23 and Q1-24 </t>
  </si>
  <si>
    <t>9 months ending 23 and 24</t>
  </si>
  <si>
    <t>Revenue has been declined to 43% in 2023 and 25 % in 2024 based on the NIKE's reports,conference calls and other news releases</t>
  </si>
  <si>
    <t xml:space="preserve">Revenue was assumed  based on the reports and conference calls </t>
  </si>
  <si>
    <t>Thea Avg. of % of NWC to revenue=19.1 % and consistent with historical average.</t>
  </si>
  <si>
    <t>Forecasted using the NWC % to revenue assumed at 19.1%</t>
  </si>
  <si>
    <t>Interest expense (income), net as % of Total Debt(excluding Operating lease)</t>
  </si>
  <si>
    <t>The changes in NWC was forecasted NWC forecasted above and the NWC in 2014 adjusted for caculating changes in NWC for 2015.</t>
  </si>
  <si>
    <t>The forecasted effective tax rate was assumed with the report and conference call releases dated March 21 ,2024 at 16.5%</t>
  </si>
  <si>
    <t>Timeline</t>
  </si>
  <si>
    <t>Values</t>
  </si>
  <si>
    <t>Forecast</t>
  </si>
  <si>
    <t>Lower Confidence Bound</t>
  </si>
  <si>
    <t>Upper Confidence Bound</t>
  </si>
  <si>
    <t>The historical trend and the dividend payments in forward looking reports, the payout was taken as 36% from previous to now</t>
  </si>
  <si>
    <t>The DPS was forecasted with the dividend payout on the rate assumed. Also, the report released on March 21,2024 has highlighted the DPS for 9 months ending 29/02/2024 was 2.74</t>
  </si>
  <si>
    <t>The forecasted dividend paid was calculated by multiplying diluted share count * dividend payout forecasted.</t>
  </si>
  <si>
    <t>Cash tax was forecasted using the income statement by multiplying PBT * tax rate</t>
  </si>
  <si>
    <t>Income tax expense was forecasted using the income tax rate forcasted in the line below multiplying by PBT.</t>
  </si>
  <si>
    <t>The retained earnings were forecasted using the formula of net income - dividend paid.</t>
  </si>
  <si>
    <t>The forecasted PPE = Opening PPT+Capex-D&amp;A</t>
  </si>
  <si>
    <t>Kept this item to the previous balance of balancesheet to now.</t>
  </si>
  <si>
    <t>Kept this item to the previous balance of cash flow to now.</t>
  </si>
  <si>
    <t>The changes in borrowings was calculated by substracting opening debt from closing debt. The opening borrowing for 2015 from 2014 was 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</si>
</sst>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72" formatCode="_-* #,##0.00_-;\-* #,##0.0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9"/>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C0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172" fontId="1" fillId="0" borderId="0" applyFont="0" applyFill="0" applyBorder="0" applyAlignment="0" applyProtection="0"/>
  </cellStyleXfs>
  <cellXfs count="10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0" fontId="0" fillId="0" borderId="0" xfId="0"/>
    <xf numFmtId="0" fontId="2" fillId="0" borderId="0" xfId="0" applyFont="1"/>
    <xf numFmtId="0" fontId="0" fillId="0" borderId="0" xfId="0" applyAlignment="1">
      <alignment horizontal="left" indent="1"/>
    </xf>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NumberFormat="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applyFont="1"/>
    <xf numFmtId="166" fontId="16" fillId="0" borderId="0" xfId="2" applyNumberFormat="1" applyFont="1" applyFill="1" applyAlignment="1">
      <alignment horizontal="right"/>
    </xf>
    <xf numFmtId="166" fontId="16" fillId="0" borderId="0" xfId="2" applyNumberFormat="1" applyFont="1" applyFill="1"/>
    <xf numFmtId="0" fontId="7" fillId="2" borderId="0" xfId="0" applyFont="1" applyFill="1" applyAlignment="1">
      <alignment horizontal="center"/>
    </xf>
    <xf numFmtId="166" fontId="12" fillId="0" borderId="3" xfId="2" applyNumberFormat="1" applyFont="1" applyBorder="1"/>
    <xf numFmtId="166" fontId="11" fillId="0" borderId="3" xfId="2" applyNumberFormat="1" applyFont="1" applyBorder="1"/>
    <xf numFmtId="165" fontId="2" fillId="0" borderId="0" xfId="1" applyNumberFormat="1" applyFont="1" applyFill="1"/>
    <xf numFmtId="166" fontId="11" fillId="0" borderId="0" xfId="2" applyNumberFormat="1" applyFont="1" applyFill="1" applyAlignment="1">
      <alignment horizontal="right"/>
    </xf>
    <xf numFmtId="165" fontId="0" fillId="0" borderId="0" xfId="1" applyNumberFormat="1" applyFont="1" applyFill="1"/>
    <xf numFmtId="166" fontId="14" fillId="0" borderId="0" xfId="2" applyNumberFormat="1" applyFont="1" applyFill="1"/>
    <xf numFmtId="165" fontId="2" fillId="0" borderId="0" xfId="0" applyNumberFormat="1" applyFont="1" applyFill="1"/>
    <xf numFmtId="165" fontId="0" fillId="0" borderId="0" xfId="0" applyNumberFormat="1"/>
    <xf numFmtId="166" fontId="0" fillId="0" borderId="0" xfId="0" applyNumberFormat="1"/>
    <xf numFmtId="166" fontId="14" fillId="9" borderId="0" xfId="2" applyNumberFormat="1" applyFont="1" applyFill="1"/>
    <xf numFmtId="166" fontId="11" fillId="9" borderId="0" xfId="2" applyNumberFormat="1" applyFont="1" applyFill="1" applyAlignment="1">
      <alignment horizontal="right"/>
    </xf>
    <xf numFmtId="10" fontId="0" fillId="0" borderId="0" xfId="0" applyNumberFormat="1"/>
    <xf numFmtId="9" fontId="0" fillId="0" borderId="0" xfId="2" applyFont="1"/>
    <xf numFmtId="9" fontId="0" fillId="0" borderId="0" xfId="0" applyNumberFormat="1" applyAlignment="1">
      <alignment horizontal="left" indent="1"/>
    </xf>
    <xf numFmtId="9" fontId="0" fillId="0" borderId="0" xfId="0" applyNumberFormat="1"/>
    <xf numFmtId="0" fontId="12" fillId="0" borderId="0" xfId="0" applyFont="1" applyAlignment="1">
      <alignment horizontal="left" indent="2"/>
    </xf>
    <xf numFmtId="9" fontId="2" fillId="0" borderId="0" xfId="0" applyNumberFormat="1" applyFont="1" applyAlignment="1">
      <alignment horizontal="left" indent="1"/>
    </xf>
    <xf numFmtId="9" fontId="2" fillId="0" borderId="0" xfId="0" applyNumberFormat="1" applyFont="1"/>
    <xf numFmtId="0" fontId="2" fillId="0" borderId="0" xfId="0" applyFont="1" applyAlignment="1">
      <alignment horizontal="right"/>
    </xf>
    <xf numFmtId="0" fontId="0" fillId="0" borderId="0" xfId="0" applyFont="1" applyAlignment="1">
      <alignment horizontal="left" indent="1"/>
    </xf>
    <xf numFmtId="3" fontId="2" fillId="0" borderId="0" xfId="0" applyNumberFormat="1" applyFont="1"/>
    <xf numFmtId="0" fontId="2" fillId="0" borderId="3" xfId="0" applyFont="1" applyBorder="1" applyAlignment="1">
      <alignment horizontal="right"/>
    </xf>
    <xf numFmtId="165" fontId="2" fillId="9" borderId="0" xfId="1" applyNumberFormat="1" applyFont="1" applyFill="1"/>
    <xf numFmtId="0" fontId="0" fillId="0" borderId="0" xfId="0"/>
    <xf numFmtId="0" fontId="2" fillId="0" borderId="0" xfId="0" applyFont="1"/>
    <xf numFmtId="0" fontId="2" fillId="0" borderId="0" xfId="0" applyFont="1" applyAlignment="1">
      <alignment horizontal="left" indent="1"/>
    </xf>
    <xf numFmtId="165" fontId="2" fillId="0" borderId="0" xfId="0" applyNumberFormat="1" applyFont="1"/>
    <xf numFmtId="166" fontId="13" fillId="0" borderId="0" xfId="2" applyNumberFormat="1" applyFont="1" applyAlignment="1">
      <alignment horizontal="right"/>
    </xf>
    <xf numFmtId="165" fontId="0" fillId="0" borderId="0" xfId="0" applyNumberFormat="1" applyFont="1"/>
    <xf numFmtId="165" fontId="0" fillId="0" borderId="0" xfId="0" applyNumberFormat="1"/>
    <xf numFmtId="166" fontId="0" fillId="0" borderId="0" xfId="0" applyNumberFormat="1"/>
    <xf numFmtId="9" fontId="0" fillId="0" borderId="0" xfId="0" applyNumberFormat="1"/>
    <xf numFmtId="165" fontId="5" fillId="0" borderId="0" xfId="1" applyNumberFormat="1" applyFont="1" applyBorder="1"/>
    <xf numFmtId="0" fontId="2" fillId="0" borderId="0" xfId="0" applyFont="1" applyFill="1"/>
    <xf numFmtId="0" fontId="0" fillId="0" borderId="0" xfId="0" applyFill="1" applyAlignment="1">
      <alignment horizontal="left"/>
    </xf>
    <xf numFmtId="0" fontId="0" fillId="0" borderId="0" xfId="0" applyFill="1"/>
  </cellXfs>
  <cellStyles count="7">
    <cellStyle name="60% - Accent1" xfId="5" builtinId="32"/>
    <cellStyle name="Accent1" xfId="4" builtinId="29"/>
    <cellStyle name="Comma" xfId="1" builtinId="3"/>
    <cellStyle name="Comma 2" xfId="3" xr:uid="{00000000-0005-0000-0000-000003000000}"/>
    <cellStyle name="Comma 2 2" xfId="6" xr:uid="{3F848D94-9539-4E0D-9ABE-929B3E8EC9B2}"/>
    <cellStyle name="Normal" xfId="0" builtinId="0"/>
    <cellStyle name="Percent" xfId="2" builtinId="5"/>
  </cellStyles>
  <dxfs count="3">
    <dxf>
      <numFmt numFmtId="166" formatCode="0.0%"/>
    </dxf>
    <dxf>
      <numFmt numFmtId="166" formatCode="0.0%"/>
    </dxf>
    <dxf>
      <numFmt numFmtId="166"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Forecasting Payout Ratio</a:t>
            </a:r>
          </a:p>
        </c:rich>
      </c:tx>
      <c:layout>
        <c:manualLayout>
          <c:xMode val="edge"/>
          <c:yMode val="edge"/>
          <c:x val="0.40912534971590092"/>
          <c:y val="0"/>
        </c:manualLayout>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manualLayout>
          <c:layoutTarget val="inner"/>
          <c:xMode val="edge"/>
          <c:yMode val="edge"/>
          <c:x val="0.12027962850797497"/>
          <c:y val="0.19697010600947612"/>
          <c:w val="0.80802111274552235"/>
          <c:h val="0.63610948631421071"/>
        </c:manualLayout>
      </c:layout>
      <c:lineChart>
        <c:grouping val="standard"/>
        <c:varyColors val="0"/>
        <c:ser>
          <c:idx val="0"/>
          <c:order val="0"/>
          <c:tx>
            <c:strRef>
              <c:f>'Forecasting Payout'!$B$1</c:f>
              <c:strCache>
                <c:ptCount val="1"/>
                <c:pt idx="0">
                  <c:v>Values</c:v>
                </c:pt>
              </c:strCache>
            </c:strRef>
          </c:tx>
          <c:spPr>
            <a:ln w="22225" cap="rnd">
              <a:solidFill>
                <a:schemeClr val="accent1"/>
              </a:solidFill>
            </a:ln>
            <a:effectLst>
              <a:glow rad="139700">
                <a:schemeClr val="accent1">
                  <a:satMod val="175000"/>
                  <a:alpha val="14000"/>
                </a:schemeClr>
              </a:glo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f>'Forecasting Payout'!$B$2:$B$14</c:f>
              <c:numCache>
                <c:formatCode>0.0%</c:formatCode>
                <c:ptCount val="13"/>
                <c:pt idx="0">
                  <c:v>0.27467155514818214</c:v>
                </c:pt>
                <c:pt idx="1">
                  <c:v>0.27180851063829786</c:v>
                </c:pt>
                <c:pt idx="2">
                  <c:v>0.26721698113207548</c:v>
                </c:pt>
                <c:pt idx="3">
                  <c:v>0.64304190377651316</c:v>
                </c:pt>
                <c:pt idx="4">
                  <c:v>0.33060312732688013</c:v>
                </c:pt>
                <c:pt idx="5">
                  <c:v>0.57187869239858213</c:v>
                </c:pt>
                <c:pt idx="6">
                  <c:v>0.28601361969617606</c:v>
                </c:pt>
                <c:pt idx="7">
                  <c:v>0.30383724776711873</c:v>
                </c:pt>
              </c:numCache>
            </c:numRef>
          </c:val>
          <c:smooth val="0"/>
          <c:extLst>
            <c:ext xmlns:c16="http://schemas.microsoft.com/office/drawing/2014/chart" uri="{C3380CC4-5D6E-409C-BE32-E72D297353CC}">
              <c16:uniqueId val="{00000000-FF03-412B-90C0-EBC8AF31ED0F}"/>
            </c:ext>
          </c:extLst>
        </c:ser>
        <c:ser>
          <c:idx val="1"/>
          <c:order val="1"/>
          <c:tx>
            <c:strRef>
              <c:f>'Forecasting Payout'!$C$1</c:f>
              <c:strCache>
                <c:ptCount val="1"/>
                <c:pt idx="0">
                  <c:v>Forecast</c:v>
                </c:pt>
              </c:strCache>
            </c:strRef>
          </c:tx>
          <c:spPr>
            <a:ln w="22225" cap="rnd">
              <a:solidFill>
                <a:schemeClr val="accent2"/>
              </a:solidFill>
            </a:ln>
            <a:effectLst>
              <a:glow rad="139700">
                <a:schemeClr val="accent2">
                  <a:satMod val="175000"/>
                  <a:alpha val="14000"/>
                </a:schemeClr>
              </a:glow>
            </a:effectLst>
          </c:spPr>
          <c:marker>
            <c:symbol val="none"/>
          </c:marker>
          <c:dLbls>
            <c:spPr>
              <a:solidFill>
                <a:srgbClr val="00B0F0"/>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numRef>
              <c:f>'Forecasting Payout'!$A$2:$A$14</c:f>
              <c:numCache>
                <c:formatCode>General</c:formatCode>
                <c:ptCount val="13"/>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numCache>
            </c:numRef>
          </c:cat>
          <c:val>
            <c:numRef>
              <c:f>'Forecasting Payout'!$C$2:$C$14</c:f>
              <c:numCache>
                <c:formatCode>General</c:formatCode>
                <c:ptCount val="13"/>
                <c:pt idx="7" formatCode="0.0%">
                  <c:v>0.30383724776711873</c:v>
                </c:pt>
                <c:pt idx="8" formatCode="0.0%">
                  <c:v>0.36113009884939878</c:v>
                </c:pt>
                <c:pt idx="9" formatCode="0.0%">
                  <c:v>0.37202020677344289</c:v>
                </c:pt>
                <c:pt idx="10" formatCode="0.0%">
                  <c:v>0.38291031469748671</c:v>
                </c:pt>
                <c:pt idx="11" formatCode="0.0%">
                  <c:v>0.39380042262153075</c:v>
                </c:pt>
                <c:pt idx="12" formatCode="0.0%">
                  <c:v>0.40469053054557458</c:v>
                </c:pt>
              </c:numCache>
            </c:numRef>
          </c:val>
          <c:smooth val="0"/>
          <c:extLst>
            <c:ext xmlns:c16="http://schemas.microsoft.com/office/drawing/2014/chart" uri="{C3380CC4-5D6E-409C-BE32-E72D297353CC}">
              <c16:uniqueId val="{00000001-FF03-412B-90C0-EBC8AF31ED0F}"/>
            </c:ext>
          </c:extLst>
        </c:ser>
        <c:ser>
          <c:idx val="2"/>
          <c:order val="2"/>
          <c:tx>
            <c:strRef>
              <c:f>'Forecasting Payout'!$D$1</c:f>
              <c:strCache>
                <c:ptCount val="1"/>
                <c:pt idx="0">
                  <c:v>Lower Confidence Bound</c:v>
                </c:pt>
              </c:strCache>
            </c:strRef>
          </c:tx>
          <c:spPr>
            <a:ln w="22225" cap="rnd">
              <a:solidFill>
                <a:schemeClr val="accent3"/>
              </a:solidFill>
            </a:ln>
            <a:effectLst>
              <a:glow rad="139700">
                <a:schemeClr val="accent3">
                  <a:satMod val="175000"/>
                  <a:alpha val="14000"/>
                </a:schemeClr>
              </a:glow>
            </a:effectLst>
          </c:spPr>
          <c:marker>
            <c:symbol val="none"/>
          </c:marker>
          <c:dLbls>
            <c:spPr>
              <a:solidFill>
                <a:srgbClr val="00B0F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numRef>
              <c:f>'Forecasting Payout'!$A$2:$A$14</c:f>
              <c:numCache>
                <c:formatCode>General</c:formatCode>
                <c:ptCount val="13"/>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numCache>
            </c:numRef>
          </c:cat>
          <c:val>
            <c:numRef>
              <c:f>'Forecasting Payout'!$D$2:$D$14</c:f>
              <c:numCache>
                <c:formatCode>General</c:formatCode>
                <c:ptCount val="13"/>
                <c:pt idx="7" formatCode="0.0%">
                  <c:v>0.30383724776711873</c:v>
                </c:pt>
                <c:pt idx="8" formatCode="0.0%">
                  <c:v>6.7671469344611712E-2</c:v>
                </c:pt>
                <c:pt idx="9" formatCode="0.0%">
                  <c:v>7.8560256707794318E-2</c:v>
                </c:pt>
                <c:pt idx="10" formatCode="0.0%">
                  <c:v>8.9448016982757006E-2</c:v>
                </c:pt>
                <c:pt idx="11" formatCode="0.0%">
                  <c:v>0.10033445674270958</c:v>
                </c:pt>
                <c:pt idx="12" formatCode="0.0%">
                  <c:v>0.11121928259100966</c:v>
                </c:pt>
              </c:numCache>
            </c:numRef>
          </c:val>
          <c:smooth val="0"/>
          <c:extLst>
            <c:ext xmlns:c16="http://schemas.microsoft.com/office/drawing/2014/chart" uri="{C3380CC4-5D6E-409C-BE32-E72D297353CC}">
              <c16:uniqueId val="{00000002-FF03-412B-90C0-EBC8AF31ED0F}"/>
            </c:ext>
          </c:extLst>
        </c:ser>
        <c:ser>
          <c:idx val="3"/>
          <c:order val="3"/>
          <c:tx>
            <c:strRef>
              <c:f>'Forecasting Payout'!$E$1</c:f>
              <c:strCache>
                <c:ptCount val="1"/>
                <c:pt idx="0">
                  <c:v>Upper Confidence Bound</c:v>
                </c:pt>
              </c:strCache>
            </c:strRef>
          </c:tx>
          <c:spPr>
            <a:ln w="22225" cap="rnd">
              <a:solidFill>
                <a:schemeClr val="accent4"/>
              </a:solidFill>
            </a:ln>
            <a:effectLst>
              <a:glow rad="139700">
                <a:schemeClr val="accent4">
                  <a:satMod val="175000"/>
                  <a:alpha val="14000"/>
                </a:schemeClr>
              </a:glow>
            </a:effectLst>
          </c:spPr>
          <c:marker>
            <c:symbol val="none"/>
          </c:marker>
          <c:dLbls>
            <c:spPr>
              <a:solidFill>
                <a:srgbClr val="00B0F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numRef>
              <c:f>'Forecasting Payout'!$A$2:$A$14</c:f>
              <c:numCache>
                <c:formatCode>General</c:formatCode>
                <c:ptCount val="13"/>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numCache>
            </c:numRef>
          </c:cat>
          <c:val>
            <c:numRef>
              <c:f>'Forecasting Payout'!$E$2:$E$14</c:f>
              <c:numCache>
                <c:formatCode>General</c:formatCode>
                <c:ptCount val="13"/>
                <c:pt idx="7" formatCode="0.0%">
                  <c:v>0.30383724776711873</c:v>
                </c:pt>
                <c:pt idx="8" formatCode="0.0%">
                  <c:v>0.6545887283541858</c:v>
                </c:pt>
                <c:pt idx="9" formatCode="0.0%">
                  <c:v>0.66548015683909145</c:v>
                </c:pt>
                <c:pt idx="10" formatCode="0.0%">
                  <c:v>0.67637261241221647</c:v>
                </c:pt>
                <c:pt idx="11" formatCode="0.0%">
                  <c:v>0.68726638850035193</c:v>
                </c:pt>
                <c:pt idx="12" formatCode="0.0%">
                  <c:v>0.6981617785001395</c:v>
                </c:pt>
              </c:numCache>
            </c:numRef>
          </c:val>
          <c:smooth val="0"/>
          <c:extLst>
            <c:ext xmlns:c16="http://schemas.microsoft.com/office/drawing/2014/chart" uri="{C3380CC4-5D6E-409C-BE32-E72D297353CC}">
              <c16:uniqueId val="{00000003-FF03-412B-90C0-EBC8AF31ED0F}"/>
            </c:ext>
          </c:extLst>
        </c:ser>
        <c:dLbls>
          <c:dLblPos val="ctr"/>
          <c:showLegendKey val="0"/>
          <c:showVal val="1"/>
          <c:showCatName val="0"/>
          <c:showSerName val="0"/>
          <c:showPercent val="0"/>
          <c:showBubbleSize val="0"/>
        </c:dLbls>
        <c:smooth val="0"/>
        <c:axId val="1760603376"/>
        <c:axId val="1760597136"/>
      </c:lineChart>
      <c:catAx>
        <c:axId val="1760603376"/>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title>
          <c:tx>
            <c:rich>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en-US" sz="1200">
                    <a:solidFill>
                      <a:schemeClr val="tx1"/>
                    </a:solidFill>
                  </a:rPr>
                  <a:t>Year</a:t>
                </a:r>
              </a:p>
            </c:rich>
          </c:tx>
          <c:overlay val="0"/>
          <c:spPr>
            <a:solidFill>
              <a:srgbClr val="00B0F0"/>
            </a:solid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title>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760597136"/>
        <c:crosses val="autoZero"/>
        <c:auto val="1"/>
        <c:lblAlgn val="ctr"/>
        <c:lblOffset val="100"/>
        <c:noMultiLvlLbl val="0"/>
      </c:catAx>
      <c:valAx>
        <c:axId val="176059713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sz="1200" b="0">
                    <a:solidFill>
                      <a:schemeClr val="tx1"/>
                    </a:solidFill>
                  </a:rPr>
                  <a:t>Payout Ratio</a:t>
                </a:r>
              </a:p>
            </c:rich>
          </c:tx>
          <c:overlay val="0"/>
          <c:spPr>
            <a:solidFill>
              <a:srgbClr val="00B0F0"/>
            </a:solid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760603376"/>
        <c:crosses val="autoZero"/>
        <c:crossBetween val="between"/>
      </c:valAx>
      <c:spPr>
        <a:noFill/>
        <a:ln>
          <a:noFill/>
        </a:ln>
        <a:effectLst/>
      </c:spPr>
    </c:plotArea>
    <c:legend>
      <c:legendPos val="t"/>
      <c:layout>
        <c:manualLayout>
          <c:xMode val="edge"/>
          <c:yMode val="edge"/>
          <c:x val="0.10468056877505696"/>
          <c:y val="0.11082251082251082"/>
          <c:w val="0.74668267428109947"/>
          <c:h val="5.8441967481337571E-2"/>
        </c:manualLayout>
      </c:layout>
      <c:overlay val="0"/>
      <c:spPr>
        <a:noFill/>
        <a:ln>
          <a:solidFill>
            <a:schemeClr val="bg1"/>
          </a:solidFill>
        </a:ln>
        <a:effectLst/>
      </c:spPr>
      <c:txPr>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15241</xdr:colOff>
      <xdr:row>0</xdr:row>
      <xdr:rowOff>0</xdr:rowOff>
    </xdr:from>
    <xdr:to>
      <xdr:col>16</xdr:col>
      <xdr:colOff>243841</xdr:colOff>
      <xdr:row>20</xdr:row>
      <xdr:rowOff>9525</xdr:rowOff>
    </xdr:to>
    <xdr:graphicFrame macro="">
      <xdr:nvGraphicFramePr>
        <xdr:cNvPr id="2" name="Chart 1">
          <a:extLst>
            <a:ext uri="{FF2B5EF4-FFF2-40B4-BE49-F238E27FC236}">
              <a16:creationId xmlns:a16="http://schemas.microsoft.com/office/drawing/2014/main" id="{965E7EE6-EA36-432C-A58F-E12E28CCA6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4E3999-14C8-4082-8958-271098C79162}" name="Table2" displayName="Table2" ref="A1:E14" totalsRowShown="0">
  <autoFilter ref="A1:E14" xr:uid="{A74E3999-14C8-4082-8958-271098C79162}"/>
  <tableColumns count="5">
    <tableColumn id="1" xr3:uid="{156E8EAE-BB27-479E-97FB-AD7AD25D282E}" name="Timeline"/>
    <tableColumn id="2" xr3:uid="{16C15508-BE61-49DE-B99D-CE72B717AFD8}" name="Values"/>
    <tableColumn id="3" xr3:uid="{59993F2B-78FA-426D-81C3-9BA0EF671840}" name="Forecast" dataDxfId="2">
      <calculatedColumnFormula>_xlfn.FORECAST.ETS(A2,$B$2:$B$9,$A$2:$A$9,1,1)</calculatedColumnFormula>
    </tableColumn>
    <tableColumn id="4" xr3:uid="{FF1CB1EE-C7E0-4E11-813D-1203674945BB}" name="Lower Confidence Bound" dataDxfId="1">
      <calculatedColumnFormula>C2-_xlfn.FORECAST.ETS.CONFINT(A2,$B$2:$B$9,$A$2:$A$9,0.95,1,1)</calculatedColumnFormula>
    </tableColumn>
    <tableColumn id="5" xr3:uid="{35A93441-6DB4-4574-AE2A-27BC4BF10D9F}" name="Upper Confidence Bound" dataDxfId="0">
      <calculatedColumnFormula>C2+_xlfn.FORECAST.ETS.CONFINT(A2,$B$2:$B$9,$A$2:$A$9,0.95,1,1)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workbookViewId="0">
      <selection activeCell="A12" sqref="A12"/>
    </sheetView>
  </sheetViews>
  <sheetFormatPr defaultRowHeight="14.4" x14ac:dyDescent="0.3"/>
  <cols>
    <col min="1" max="1" width="176.109375" style="20" customWidth="1"/>
  </cols>
  <sheetData>
    <row r="1" spans="1:1" ht="23.4" x14ac:dyDescent="0.45">
      <c r="A1" s="19" t="s">
        <v>20</v>
      </c>
    </row>
    <row r="2" spans="1:1" x14ac:dyDescent="0.3">
      <c r="A2" s="49" t="s">
        <v>218</v>
      </c>
    </row>
    <row r="3" spans="1:1" x14ac:dyDescent="0.3">
      <c r="A3" s="99" t="s">
        <v>148</v>
      </c>
    </row>
    <row r="4" spans="1:1" x14ac:dyDescent="0.3">
      <c r="A4" s="100" t="s">
        <v>217</v>
      </c>
    </row>
    <row r="5" spans="1:1" x14ac:dyDescent="0.3">
      <c r="A5" s="101" t="s">
        <v>211</v>
      </c>
    </row>
    <row r="6" spans="1:1" x14ac:dyDescent="0.3">
      <c r="A6" s="101" t="s">
        <v>212</v>
      </c>
    </row>
    <row r="7" spans="1:1" s="49" customFormat="1" x14ac:dyDescent="0.3">
      <c r="A7" s="101" t="s">
        <v>215</v>
      </c>
    </row>
    <row r="8" spans="1:1" x14ac:dyDescent="0.3">
      <c r="A8" s="101"/>
    </row>
    <row r="9" spans="1:1" x14ac:dyDescent="0.3">
      <c r="A9" s="99" t="s">
        <v>198</v>
      </c>
    </row>
    <row r="10" spans="1:1" x14ac:dyDescent="0.3">
      <c r="A10" s="101" t="s">
        <v>199</v>
      </c>
    </row>
    <row r="11" spans="1:1" s="17" customFormat="1" x14ac:dyDescent="0.3">
      <c r="A11" s="101" t="s">
        <v>200</v>
      </c>
    </row>
    <row r="12" spans="1:1" x14ac:dyDescent="0.3">
      <c r="A12" s="101" t="s">
        <v>201</v>
      </c>
    </row>
    <row r="13" spans="1:1" x14ac:dyDescent="0.3">
      <c r="A13" s="101" t="s">
        <v>202</v>
      </c>
    </row>
    <row r="14" spans="1:1" x14ac:dyDescent="0.3">
      <c r="A14" s="101" t="s">
        <v>213</v>
      </c>
    </row>
    <row r="15" spans="1:1" x14ac:dyDescent="0.3">
      <c r="A15" s="101" t="s">
        <v>203</v>
      </c>
    </row>
    <row r="16" spans="1:1" x14ac:dyDescent="0.3">
      <c r="A16" s="101" t="s">
        <v>204</v>
      </c>
    </row>
    <row r="17" spans="1:1" x14ac:dyDescent="0.3">
      <c r="A17" s="101" t="s">
        <v>205</v>
      </c>
    </row>
    <row r="18" spans="1:1" x14ac:dyDescent="0.3">
      <c r="A18" s="101" t="s">
        <v>206</v>
      </c>
    </row>
    <row r="19" spans="1:1" x14ac:dyDescent="0.3">
      <c r="A19" s="101" t="s">
        <v>207</v>
      </c>
    </row>
    <row r="20" spans="1:1" x14ac:dyDescent="0.3">
      <c r="A20" s="101" t="s">
        <v>208</v>
      </c>
    </row>
    <row r="21" spans="1:1" x14ac:dyDescent="0.3">
      <c r="A21" s="101" t="s">
        <v>209</v>
      </c>
    </row>
    <row r="22" spans="1:1" x14ac:dyDescent="0.3">
      <c r="A22" s="101" t="s">
        <v>210</v>
      </c>
    </row>
    <row r="23" spans="1:1" x14ac:dyDescent="0.3">
      <c r="A23" s="101"/>
    </row>
    <row r="24" spans="1:1" x14ac:dyDescent="0.3">
      <c r="A24" s="49" t="s">
        <v>219</v>
      </c>
    </row>
    <row r="26" spans="1:1" x14ac:dyDescent="0.3">
      <c r="A26" s="20"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04" activePane="bottomLeft" state="frozen"/>
      <selection pane="bottomLeft" activeCell="B92" sqref="B92"/>
    </sheetView>
  </sheetViews>
  <sheetFormatPr defaultRowHeight="14.4" x14ac:dyDescent="0.3"/>
  <cols>
    <col min="1" max="1" width="110.109375" bestFit="1"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4" t="s">
        <v>28</v>
      </c>
      <c r="B3" s="25">
        <v>16534</v>
      </c>
      <c r="C3" s="25">
        <v>17405</v>
      </c>
      <c r="D3" s="25">
        <v>19038</v>
      </c>
      <c r="E3" s="25">
        <v>20441</v>
      </c>
      <c r="F3" s="25">
        <v>21643</v>
      </c>
      <c r="G3" s="25">
        <v>21162</v>
      </c>
      <c r="H3" s="25">
        <v>24576</v>
      </c>
      <c r="I3" s="25">
        <v>25231</v>
      </c>
    </row>
    <row r="4" spans="1:9" s="1" customFormat="1" x14ac:dyDescent="0.3">
      <c r="A4" s="23"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c r="C32" s="3"/>
      <c r="D32" s="3"/>
      <c r="E32" s="3"/>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c r="C42" s="3"/>
      <c r="D42" s="3"/>
      <c r="E42" s="3"/>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8" t="s">
        <v>56</v>
      </c>
      <c r="B53" s="3"/>
      <c r="C53" s="3"/>
      <c r="D53" s="3"/>
      <c r="E53" s="3"/>
      <c r="F53" s="3"/>
      <c r="G53" s="3"/>
      <c r="H53" s="3"/>
      <c r="I53" s="3"/>
    </row>
    <row r="54" spans="1:9" x14ac:dyDescent="0.3">
      <c r="A54" s="18" t="s">
        <v>57</v>
      </c>
      <c r="B54" s="3">
        <v>3</v>
      </c>
      <c r="C54" s="3">
        <v>3</v>
      </c>
      <c r="D54" s="3">
        <v>3</v>
      </c>
      <c r="E54" s="3">
        <v>3</v>
      </c>
      <c r="F54" s="3">
        <v>3</v>
      </c>
      <c r="G54" s="3">
        <v>3</v>
      </c>
      <c r="H54" s="3">
        <v>3</v>
      </c>
      <c r="I54" s="3">
        <v>3</v>
      </c>
    </row>
    <row r="55" spans="1:9" x14ac:dyDescent="0.3">
      <c r="A55" s="18" t="s">
        <v>58</v>
      </c>
      <c r="B55" s="3">
        <v>6773</v>
      </c>
      <c r="C55" s="3">
        <v>7786</v>
      </c>
      <c r="D55" s="3">
        <v>5710</v>
      </c>
      <c r="E55" s="3">
        <v>6384</v>
      </c>
      <c r="F55" s="3">
        <v>7163</v>
      </c>
      <c r="G55" s="3">
        <v>8299</v>
      </c>
      <c r="H55" s="3">
        <v>9965</v>
      </c>
      <c r="I55" s="3">
        <v>11484</v>
      </c>
    </row>
    <row r="56" spans="1:9" x14ac:dyDescent="0.3">
      <c r="A56" s="18" t="s">
        <v>59</v>
      </c>
      <c r="B56" s="3">
        <v>1246</v>
      </c>
      <c r="C56" s="3">
        <v>318</v>
      </c>
      <c r="D56" s="3">
        <v>-213</v>
      </c>
      <c r="E56" s="3">
        <v>-92</v>
      </c>
      <c r="F56" s="3">
        <v>231</v>
      </c>
      <c r="G56" s="3">
        <v>-56</v>
      </c>
      <c r="H56" s="3">
        <v>-380</v>
      </c>
      <c r="I56" s="3">
        <v>318</v>
      </c>
    </row>
    <row r="57" spans="1:9" x14ac:dyDescent="0.3">
      <c r="A57" s="18" t="s">
        <v>60</v>
      </c>
      <c r="B57" s="3">
        <v>4685</v>
      </c>
      <c r="C57" s="3">
        <v>4151</v>
      </c>
      <c r="D57" s="3">
        <v>6907</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v>3273</v>
      </c>
      <c r="C64" s="9">
        <v>3760</v>
      </c>
      <c r="D64" s="9">
        <v>4240</v>
      </c>
      <c r="E64" s="9">
        <v>1933</v>
      </c>
      <c r="F64" s="9">
        <v>4029</v>
      </c>
      <c r="G64" s="9">
        <v>2539</v>
      </c>
      <c r="H64" s="9">
        <f>+H12</f>
        <v>5727</v>
      </c>
      <c r="I64" s="9">
        <f>+I12</f>
        <v>6046</v>
      </c>
    </row>
    <row r="65" spans="1:9" s="1" customFormat="1" x14ac:dyDescent="0.3">
      <c r="A65" s="2" t="s">
        <v>65</v>
      </c>
      <c r="B65" s="3"/>
      <c r="C65" s="3"/>
      <c r="D65" s="3"/>
      <c r="E65" s="3"/>
      <c r="F65" s="3"/>
      <c r="G65" s="3"/>
      <c r="H65" s="3"/>
      <c r="I65" s="3"/>
    </row>
    <row r="66" spans="1:9" s="17" customFormat="1" x14ac:dyDescent="0.3">
      <c r="A66" s="11" t="s">
        <v>66</v>
      </c>
      <c r="B66" s="3">
        <v>606</v>
      </c>
      <c r="C66" s="3">
        <v>649</v>
      </c>
      <c r="D66" s="3">
        <v>706</v>
      </c>
      <c r="E66" s="3">
        <v>747</v>
      </c>
      <c r="F66" s="3">
        <v>705</v>
      </c>
      <c r="G66" s="3">
        <v>721</v>
      </c>
      <c r="H66" s="3">
        <v>744</v>
      </c>
      <c r="I66" s="3">
        <v>717</v>
      </c>
    </row>
    <row r="67" spans="1:9" s="17" customFormat="1" x14ac:dyDescent="0.3">
      <c r="A67" s="11" t="s">
        <v>67</v>
      </c>
      <c r="B67" s="3">
        <v>-113</v>
      </c>
      <c r="C67" s="3">
        <v>-80</v>
      </c>
      <c r="D67" s="3">
        <v>-273</v>
      </c>
      <c r="E67" s="3">
        <v>647</v>
      </c>
      <c r="F67" s="3">
        <v>34</v>
      </c>
      <c r="G67" s="3">
        <v>-380</v>
      </c>
      <c r="H67" s="3">
        <v>-385</v>
      </c>
      <c r="I67" s="3">
        <v>-650</v>
      </c>
    </row>
    <row r="68" spans="1:9" s="17" customFormat="1" x14ac:dyDescent="0.3">
      <c r="A68" s="11" t="s">
        <v>68</v>
      </c>
      <c r="B68" s="3">
        <v>191</v>
      </c>
      <c r="C68" s="3">
        <v>236</v>
      </c>
      <c r="D68" s="3">
        <v>215</v>
      </c>
      <c r="E68" s="3">
        <v>218</v>
      </c>
      <c r="F68" s="3">
        <v>325</v>
      </c>
      <c r="G68" s="3">
        <v>429</v>
      </c>
      <c r="H68" s="3">
        <v>611</v>
      </c>
      <c r="I68" s="3">
        <v>638</v>
      </c>
    </row>
    <row r="69" spans="1:9" s="17" customFormat="1" x14ac:dyDescent="0.3">
      <c r="A69" s="11" t="s">
        <v>69</v>
      </c>
      <c r="B69" s="3">
        <v>43</v>
      </c>
      <c r="C69" s="3">
        <v>13</v>
      </c>
      <c r="D69" s="3">
        <v>10</v>
      </c>
      <c r="E69" s="3">
        <v>27</v>
      </c>
      <c r="F69" s="3">
        <v>15</v>
      </c>
      <c r="G69" s="3">
        <v>398</v>
      </c>
      <c r="H69" s="3">
        <v>53</v>
      </c>
      <c r="I69" s="3">
        <v>123</v>
      </c>
    </row>
    <row r="70" spans="1:9" s="17" customFormat="1" x14ac:dyDescent="0.3">
      <c r="A70" s="11" t="s">
        <v>70</v>
      </c>
      <c r="B70" s="3">
        <v>424</v>
      </c>
      <c r="C70" s="3">
        <v>98</v>
      </c>
      <c r="D70" s="3">
        <v>-117</v>
      </c>
      <c r="E70" s="3">
        <v>-99</v>
      </c>
      <c r="F70" s="3">
        <v>233</v>
      </c>
      <c r="G70" s="3">
        <v>23</v>
      </c>
      <c r="H70" s="3">
        <v>-138</v>
      </c>
      <c r="I70" s="3">
        <v>-26</v>
      </c>
    </row>
    <row r="71" spans="1:9" s="17" customFormat="1" x14ac:dyDescent="0.3">
      <c r="A71" s="2" t="s">
        <v>71</v>
      </c>
      <c r="B71" s="3"/>
      <c r="C71" s="3"/>
      <c r="D71" s="3"/>
      <c r="E71" s="3"/>
      <c r="F71" s="3"/>
      <c r="G71" s="3"/>
      <c r="H71" s="3"/>
      <c r="I71" s="3"/>
    </row>
    <row r="72" spans="1:9" s="17" customFormat="1" x14ac:dyDescent="0.3">
      <c r="A72" s="11" t="s">
        <v>72</v>
      </c>
      <c r="B72" s="3">
        <v>-216</v>
      </c>
      <c r="C72" s="3">
        <v>60</v>
      </c>
      <c r="D72" s="3">
        <v>-426</v>
      </c>
      <c r="E72" s="3">
        <v>187</v>
      </c>
      <c r="F72" s="3">
        <v>-270</v>
      </c>
      <c r="G72" s="3">
        <v>1239</v>
      </c>
      <c r="H72" s="3">
        <v>-1606</v>
      </c>
      <c r="I72" s="3">
        <v>-504</v>
      </c>
    </row>
    <row r="73" spans="1:9" s="17" customFormat="1" x14ac:dyDescent="0.3">
      <c r="A73" s="11" t="s">
        <v>73</v>
      </c>
      <c r="B73" s="3">
        <v>-621</v>
      </c>
      <c r="C73" s="3">
        <v>-590</v>
      </c>
      <c r="D73" s="3">
        <v>-231</v>
      </c>
      <c r="E73" s="3">
        <v>-255</v>
      </c>
      <c r="F73" s="3">
        <v>-490</v>
      </c>
      <c r="G73" s="3">
        <v>-1854</v>
      </c>
      <c r="H73" s="3">
        <v>507</v>
      </c>
      <c r="I73" s="3">
        <v>-1676</v>
      </c>
    </row>
    <row r="74" spans="1:9" s="17" customFormat="1" x14ac:dyDescent="0.3">
      <c r="A74" s="11" t="s">
        <v>98</v>
      </c>
      <c r="B74" s="3">
        <v>-144</v>
      </c>
      <c r="C74" s="3">
        <v>-161</v>
      </c>
      <c r="D74" s="3">
        <v>-120</v>
      </c>
      <c r="E74" s="3">
        <v>35</v>
      </c>
      <c r="F74" s="3">
        <v>-203</v>
      </c>
      <c r="G74" s="3">
        <v>-654</v>
      </c>
      <c r="H74" s="3">
        <v>-182</v>
      </c>
      <c r="I74" s="3">
        <v>-845</v>
      </c>
    </row>
    <row r="75" spans="1:9" s="17" customFormat="1" x14ac:dyDescent="0.3">
      <c r="A75" s="11" t="s">
        <v>97</v>
      </c>
      <c r="B75" s="3">
        <v>1237</v>
      </c>
      <c r="C75" s="3">
        <v>-889</v>
      </c>
      <c r="D75" s="3">
        <v>-158</v>
      </c>
      <c r="E75" s="3">
        <v>1515</v>
      </c>
      <c r="F75" s="3">
        <v>1525</v>
      </c>
      <c r="G75" s="3">
        <v>24</v>
      </c>
      <c r="H75" s="3">
        <v>1326</v>
      </c>
      <c r="I75" s="3">
        <v>1365</v>
      </c>
    </row>
    <row r="76" spans="1:9" s="17" customFormat="1" x14ac:dyDescent="0.3">
      <c r="A76" s="26" t="s">
        <v>74</v>
      </c>
      <c r="B76" s="27">
        <f t="shared" ref="B76:H76" si="12">+SUM(B64:B75)</f>
        <v>4680</v>
      </c>
      <c r="C76" s="27">
        <f t="shared" si="12"/>
        <v>3096</v>
      </c>
      <c r="D76" s="27">
        <f t="shared" si="12"/>
        <v>3846</v>
      </c>
      <c r="E76" s="27">
        <f t="shared" si="12"/>
        <v>4955</v>
      </c>
      <c r="F76" s="27">
        <f t="shared" si="12"/>
        <v>5903</v>
      </c>
      <c r="G76" s="27">
        <f t="shared" si="12"/>
        <v>2485</v>
      </c>
      <c r="H76" s="27">
        <f t="shared" si="12"/>
        <v>6657</v>
      </c>
      <c r="I76" s="27">
        <f>+SUM(I64:I75)</f>
        <v>5188</v>
      </c>
    </row>
    <row r="77" spans="1:9" s="17" customFormat="1" x14ac:dyDescent="0.3">
      <c r="A77" s="1" t="s">
        <v>75</v>
      </c>
      <c r="B77" s="3"/>
      <c r="C77" s="3"/>
      <c r="D77" s="3"/>
      <c r="E77" s="3"/>
      <c r="F77" s="3"/>
      <c r="G77" s="3"/>
      <c r="H77" s="3"/>
      <c r="I77" s="3"/>
    </row>
    <row r="78" spans="1:9" s="17" customFormat="1" x14ac:dyDescent="0.3">
      <c r="A78" s="2" t="s">
        <v>76</v>
      </c>
      <c r="B78" s="3">
        <v>-4936</v>
      </c>
      <c r="C78" s="3">
        <v>-5367</v>
      </c>
      <c r="D78" s="3">
        <v>-5928</v>
      </c>
      <c r="E78" s="3">
        <v>-4783</v>
      </c>
      <c r="F78" s="3">
        <v>-2937</v>
      </c>
      <c r="G78" s="3">
        <v>-2426</v>
      </c>
      <c r="H78" s="3">
        <v>-9961</v>
      </c>
      <c r="I78" s="3">
        <v>-12913</v>
      </c>
    </row>
    <row r="79" spans="1:9" s="17" customFormat="1" x14ac:dyDescent="0.3">
      <c r="A79" s="2" t="s">
        <v>77</v>
      </c>
      <c r="B79" s="3">
        <v>3655</v>
      </c>
      <c r="C79" s="3">
        <v>2924</v>
      </c>
      <c r="D79" s="3">
        <v>3623</v>
      </c>
      <c r="E79" s="3">
        <v>3613</v>
      </c>
      <c r="F79" s="3">
        <v>1715</v>
      </c>
      <c r="G79" s="3">
        <v>74</v>
      </c>
      <c r="H79" s="3">
        <v>4236</v>
      </c>
      <c r="I79" s="3">
        <v>8199</v>
      </c>
    </row>
    <row r="80" spans="1:9" s="17" customFormat="1" x14ac:dyDescent="0.3">
      <c r="A80" s="2" t="s">
        <v>78</v>
      </c>
      <c r="B80" s="3">
        <v>2216</v>
      </c>
      <c r="C80" s="3">
        <v>2386</v>
      </c>
      <c r="D80" s="3">
        <v>2423</v>
      </c>
      <c r="E80" s="3">
        <v>2496</v>
      </c>
      <c r="F80" s="3">
        <v>2072</v>
      </c>
      <c r="G80" s="3">
        <v>2379</v>
      </c>
      <c r="H80" s="3">
        <v>2449</v>
      </c>
      <c r="I80" s="3">
        <v>3967</v>
      </c>
    </row>
    <row r="81" spans="1:9" s="17" customFormat="1" x14ac:dyDescent="0.3">
      <c r="A81" s="2" t="s">
        <v>14</v>
      </c>
      <c r="B81" s="3">
        <v>-963</v>
      </c>
      <c r="C81" s="3">
        <v>-1143</v>
      </c>
      <c r="D81" s="3">
        <v>-1105</v>
      </c>
      <c r="E81" s="3">
        <v>-1028</v>
      </c>
      <c r="F81" s="3">
        <v>-1119</v>
      </c>
      <c r="G81" s="3">
        <v>-1086</v>
      </c>
      <c r="H81" s="3">
        <v>-695</v>
      </c>
      <c r="I81" s="3">
        <v>-758</v>
      </c>
    </row>
    <row r="82" spans="1:9" s="17" customFormat="1" x14ac:dyDescent="0.3">
      <c r="A82" s="2" t="s">
        <v>79</v>
      </c>
      <c r="B82" s="3">
        <v>-147</v>
      </c>
      <c r="C82" s="3">
        <v>166</v>
      </c>
      <c r="D82" s="3">
        <v>-21</v>
      </c>
      <c r="E82" s="3">
        <v>-22</v>
      </c>
      <c r="F82" s="3">
        <v>5</v>
      </c>
      <c r="G82" s="3">
        <v>31</v>
      </c>
      <c r="H82" s="3">
        <v>171</v>
      </c>
      <c r="I82" s="3">
        <v>-19</v>
      </c>
    </row>
    <row r="83" spans="1:9" s="17" customFormat="1" x14ac:dyDescent="0.3">
      <c r="A83" s="28" t="s">
        <v>80</v>
      </c>
      <c r="B83" s="27">
        <f t="shared" ref="B83:H83" si="13">+SUM(B78:B82)</f>
        <v>-175</v>
      </c>
      <c r="C83" s="27">
        <f t="shared" si="13"/>
        <v>-1034</v>
      </c>
      <c r="D83" s="27">
        <f t="shared" si="13"/>
        <v>-1008</v>
      </c>
      <c r="E83" s="27">
        <f t="shared" si="13"/>
        <v>276</v>
      </c>
      <c r="F83" s="27">
        <f t="shared" si="13"/>
        <v>-264</v>
      </c>
      <c r="G83" s="27">
        <f t="shared" si="13"/>
        <v>-1028</v>
      </c>
      <c r="H83" s="27">
        <f t="shared" si="13"/>
        <v>-3800</v>
      </c>
      <c r="I83" s="27">
        <f>+SUM(I78:I82)</f>
        <v>-1524</v>
      </c>
    </row>
    <row r="84" spans="1:9" s="17" customFormat="1" x14ac:dyDescent="0.3">
      <c r="A84" s="1" t="s">
        <v>81</v>
      </c>
      <c r="B84" s="3"/>
      <c r="C84" s="3"/>
      <c r="D84" s="3"/>
      <c r="E84" s="3"/>
      <c r="F84" s="3"/>
      <c r="G84" s="3"/>
      <c r="H84" s="3"/>
      <c r="I84" s="3"/>
    </row>
    <row r="85" spans="1:9" s="17" customFormat="1" x14ac:dyDescent="0.3">
      <c r="A85" s="2" t="s">
        <v>82</v>
      </c>
      <c r="B85" s="3">
        <v>0</v>
      </c>
      <c r="C85" s="3">
        <v>981</v>
      </c>
      <c r="D85" s="3">
        <v>1482</v>
      </c>
      <c r="E85" s="3">
        <v>0</v>
      </c>
      <c r="F85" s="3">
        <v>0</v>
      </c>
      <c r="G85" s="3">
        <v>6134</v>
      </c>
      <c r="H85" s="3">
        <v>0</v>
      </c>
      <c r="I85" s="3">
        <v>0</v>
      </c>
    </row>
    <row r="86" spans="1:9" s="17" customFormat="1" x14ac:dyDescent="0.3">
      <c r="A86" s="2" t="s">
        <v>83</v>
      </c>
      <c r="B86" s="3">
        <v>-63</v>
      </c>
      <c r="C86" s="3">
        <v>-67</v>
      </c>
      <c r="D86" s="3">
        <v>327</v>
      </c>
      <c r="E86" s="3">
        <v>13</v>
      </c>
      <c r="F86" s="3">
        <v>-325</v>
      </c>
      <c r="G86" s="3">
        <v>49</v>
      </c>
      <c r="H86" s="3">
        <v>-52</v>
      </c>
      <c r="I86" s="3">
        <v>15</v>
      </c>
    </row>
    <row r="87" spans="1:9" s="17" customFormat="1" x14ac:dyDescent="0.3">
      <c r="A87" s="2" t="s">
        <v>84</v>
      </c>
      <c r="B87" s="3">
        <v>-7</v>
      </c>
      <c r="C87" s="3">
        <v>-106</v>
      </c>
      <c r="D87" s="3">
        <v>-44</v>
      </c>
      <c r="E87" s="3">
        <v>-6</v>
      </c>
      <c r="F87" s="3">
        <v>0</v>
      </c>
      <c r="G87" s="3">
        <v>0</v>
      </c>
      <c r="H87" s="3">
        <v>-197</v>
      </c>
      <c r="I87" s="3">
        <v>0</v>
      </c>
    </row>
    <row r="88" spans="1:9" s="17" customFormat="1" x14ac:dyDescent="0.3">
      <c r="A88" s="2" t="s">
        <v>85</v>
      </c>
      <c r="B88" s="3">
        <v>514</v>
      </c>
      <c r="C88" s="3">
        <v>507</v>
      </c>
      <c r="D88" s="3">
        <v>489</v>
      </c>
      <c r="E88" s="3">
        <v>733</v>
      </c>
      <c r="F88" s="3">
        <v>700</v>
      </c>
      <c r="G88" s="3">
        <v>885</v>
      </c>
      <c r="H88" s="3">
        <v>1172</v>
      </c>
      <c r="I88" s="3">
        <v>1151</v>
      </c>
    </row>
    <row r="89" spans="1:9" s="17" customFormat="1" x14ac:dyDescent="0.3">
      <c r="A89" s="2" t="s">
        <v>16</v>
      </c>
      <c r="B89" s="3">
        <v>-2534</v>
      </c>
      <c r="C89" s="3">
        <v>-3238</v>
      </c>
      <c r="D89" s="3">
        <v>-3223</v>
      </c>
      <c r="E89" s="3">
        <v>-4254</v>
      </c>
      <c r="F89" s="3">
        <v>-4286</v>
      </c>
      <c r="G89" s="3">
        <v>-3067</v>
      </c>
      <c r="H89" s="3">
        <v>-608</v>
      </c>
      <c r="I89" s="3">
        <v>-4014</v>
      </c>
    </row>
    <row r="90" spans="1:9" s="17" customFormat="1" x14ac:dyDescent="0.3">
      <c r="A90" s="2" t="s">
        <v>86</v>
      </c>
      <c r="B90" s="3">
        <v>-899</v>
      </c>
      <c r="C90" s="3">
        <v>-1022</v>
      </c>
      <c r="D90" s="3">
        <v>-1133</v>
      </c>
      <c r="E90" s="3">
        <v>-1243</v>
      </c>
      <c r="F90" s="3">
        <v>-1332</v>
      </c>
      <c r="G90" s="3">
        <v>-1452</v>
      </c>
      <c r="H90" s="3">
        <v>-1638</v>
      </c>
      <c r="I90" s="3">
        <v>-1837</v>
      </c>
    </row>
    <row r="91" spans="1:9" s="17" customFormat="1" x14ac:dyDescent="0.3">
      <c r="A91" s="2" t="s">
        <v>87</v>
      </c>
      <c r="B91" s="3">
        <v>199</v>
      </c>
      <c r="C91" s="3">
        <v>274</v>
      </c>
      <c r="D91" s="3">
        <v>-46</v>
      </c>
      <c r="E91" s="3">
        <v>-78</v>
      </c>
      <c r="F91" s="3">
        <v>-50</v>
      </c>
      <c r="G91" s="3">
        <v>-58</v>
      </c>
      <c r="H91" s="3">
        <v>-136</v>
      </c>
      <c r="I91" s="3">
        <v>-151</v>
      </c>
    </row>
    <row r="92" spans="1:9" s="17" customFormat="1" x14ac:dyDescent="0.3">
      <c r="A92" s="28" t="s">
        <v>88</v>
      </c>
      <c r="B92" s="27">
        <f t="shared" ref="B92:H92" si="14">+SUM(B85:B91)</f>
        <v>-2790</v>
      </c>
      <c r="C92" s="27">
        <f t="shared" si="14"/>
        <v>-2671</v>
      </c>
      <c r="D92" s="27">
        <f t="shared" si="14"/>
        <v>-2148</v>
      </c>
      <c r="E92" s="27">
        <f t="shared" si="14"/>
        <v>-4835</v>
      </c>
      <c r="F92" s="27">
        <f t="shared" si="14"/>
        <v>-5293</v>
      </c>
      <c r="G92" s="27">
        <f t="shared" si="14"/>
        <v>2491</v>
      </c>
      <c r="H92" s="27">
        <f t="shared" si="14"/>
        <v>-1459</v>
      </c>
      <c r="I92" s="27">
        <f>+SUM(I85:I91)</f>
        <v>-4836</v>
      </c>
    </row>
    <row r="93" spans="1:9" s="17" customFormat="1" x14ac:dyDescent="0.3">
      <c r="A93" s="2" t="s">
        <v>89</v>
      </c>
      <c r="B93" s="3">
        <v>-83</v>
      </c>
      <c r="C93" s="3">
        <v>-105</v>
      </c>
      <c r="D93" s="3">
        <v>-20</v>
      </c>
      <c r="E93" s="3">
        <v>45</v>
      </c>
      <c r="F93" s="3">
        <v>-129</v>
      </c>
      <c r="G93" s="3">
        <v>-66</v>
      </c>
      <c r="H93" s="3">
        <v>143</v>
      </c>
      <c r="I93" s="3">
        <v>-143</v>
      </c>
    </row>
    <row r="94" spans="1:9" s="17" customFormat="1" x14ac:dyDescent="0.3">
      <c r="A94" s="28" t="s">
        <v>90</v>
      </c>
      <c r="B94" s="27">
        <f t="shared" ref="B94:H94" si="15">+B76+B83+B92+B93</f>
        <v>1632</v>
      </c>
      <c r="C94" s="27">
        <f t="shared" si="15"/>
        <v>-714</v>
      </c>
      <c r="D94" s="27">
        <f t="shared" si="15"/>
        <v>670</v>
      </c>
      <c r="E94" s="27">
        <f t="shared" si="15"/>
        <v>441</v>
      </c>
      <c r="F94" s="27">
        <f t="shared" si="15"/>
        <v>217</v>
      </c>
      <c r="G94" s="27">
        <f t="shared" si="15"/>
        <v>3882</v>
      </c>
      <c r="H94" s="27">
        <f t="shared" si="15"/>
        <v>1541</v>
      </c>
      <c r="I94" s="27">
        <f>+I76+I83+I92+I93</f>
        <v>-1315</v>
      </c>
    </row>
    <row r="95" spans="1:9" s="17" customFormat="1" x14ac:dyDescent="0.3">
      <c r="A95" t="s">
        <v>91</v>
      </c>
      <c r="B95" s="3">
        <v>2220</v>
      </c>
      <c r="C95" s="3">
        <v>3852</v>
      </c>
      <c r="D95" s="3">
        <v>3138</v>
      </c>
      <c r="E95" s="3">
        <v>3808</v>
      </c>
      <c r="F95" s="3">
        <v>4249</v>
      </c>
      <c r="G95" s="3">
        <v>4466</v>
      </c>
      <c r="H95" s="3">
        <v>8348</v>
      </c>
      <c r="I95" s="3">
        <f>+H96</f>
        <v>9889</v>
      </c>
    </row>
    <row r="96" spans="1:9" s="17" customFormat="1" ht="15" thickBot="1" x14ac:dyDescent="0.35">
      <c r="A96" s="6" t="s">
        <v>92</v>
      </c>
      <c r="B96" s="7">
        <f t="shared" ref="B96:H96" si="16">+B94+B95</f>
        <v>3852</v>
      </c>
      <c r="C96" s="7">
        <f t="shared" si="16"/>
        <v>3138</v>
      </c>
      <c r="D96" s="7">
        <f t="shared" si="16"/>
        <v>3808</v>
      </c>
      <c r="E96" s="7">
        <f t="shared" si="16"/>
        <v>4249</v>
      </c>
      <c r="F96" s="7">
        <f t="shared" si="16"/>
        <v>4466</v>
      </c>
      <c r="G96" s="7">
        <f t="shared" si="16"/>
        <v>8348</v>
      </c>
      <c r="H96" s="7">
        <f t="shared" si="16"/>
        <v>9889</v>
      </c>
      <c r="I96" s="7">
        <f>+I94+I95</f>
        <v>8574</v>
      </c>
    </row>
    <row r="97" spans="1:9" s="12" customFormat="1" ht="15" thickTop="1" x14ac:dyDescent="0.3">
      <c r="A97" s="12" t="s">
        <v>19</v>
      </c>
      <c r="B97" s="13">
        <f t="shared" ref="B97:H97" si="17">+B96-B25</f>
        <v>0</v>
      </c>
      <c r="C97" s="13">
        <f t="shared" si="17"/>
        <v>0</v>
      </c>
      <c r="D97" s="13">
        <f t="shared" si="17"/>
        <v>0</v>
      </c>
      <c r="E97" s="13">
        <f t="shared" si="17"/>
        <v>0</v>
      </c>
      <c r="F97" s="13">
        <f>+F96-F25</f>
        <v>0</v>
      </c>
      <c r="G97" s="13">
        <f t="shared" si="17"/>
        <v>0</v>
      </c>
      <c r="H97" s="13">
        <f t="shared" si="17"/>
        <v>0</v>
      </c>
      <c r="I97" s="13">
        <f>+I96-I25</f>
        <v>0</v>
      </c>
    </row>
    <row r="98" spans="1:9" s="17" customFormat="1" x14ac:dyDescent="0.3">
      <c r="A98" t="s">
        <v>93</v>
      </c>
      <c r="B98" s="3"/>
      <c r="C98" s="3"/>
      <c r="D98" s="3"/>
      <c r="E98" s="3"/>
      <c r="F98" s="3"/>
      <c r="G98" s="3"/>
      <c r="H98" s="3"/>
      <c r="I98" s="3"/>
    </row>
    <row r="99" spans="1:9" s="17" customFormat="1" x14ac:dyDescent="0.3">
      <c r="A99" s="2" t="s">
        <v>17</v>
      </c>
      <c r="B99" s="3"/>
      <c r="C99" s="3"/>
      <c r="D99" s="3"/>
      <c r="E99" s="3"/>
      <c r="F99" s="3"/>
      <c r="G99" s="3"/>
      <c r="H99" s="3"/>
      <c r="I99" s="3"/>
    </row>
    <row r="100" spans="1:9" s="17" customFormat="1" x14ac:dyDescent="0.3">
      <c r="A100" s="11" t="s">
        <v>94</v>
      </c>
      <c r="B100" s="3">
        <v>53</v>
      </c>
      <c r="C100" s="3">
        <v>70</v>
      </c>
      <c r="D100" s="3">
        <v>98</v>
      </c>
      <c r="E100" s="3">
        <v>125</v>
      </c>
      <c r="F100" s="3">
        <v>153</v>
      </c>
      <c r="G100" s="3">
        <v>140</v>
      </c>
      <c r="H100" s="3">
        <v>293</v>
      </c>
      <c r="I100" s="3">
        <v>290</v>
      </c>
    </row>
    <row r="101" spans="1:9" s="17" customFormat="1" x14ac:dyDescent="0.3">
      <c r="A101" s="11" t="s">
        <v>18</v>
      </c>
      <c r="B101" s="3">
        <v>1262</v>
      </c>
      <c r="C101" s="3">
        <v>748</v>
      </c>
      <c r="D101" s="3">
        <v>703</v>
      </c>
      <c r="E101" s="3">
        <v>529</v>
      </c>
      <c r="F101" s="3">
        <v>757</v>
      </c>
      <c r="G101" s="3">
        <v>1028</v>
      </c>
      <c r="H101" s="3">
        <v>1177</v>
      </c>
      <c r="I101" s="3">
        <v>1231</v>
      </c>
    </row>
    <row r="102" spans="1:9" s="17" customFormat="1" x14ac:dyDescent="0.3">
      <c r="A102" s="11" t="s">
        <v>95</v>
      </c>
      <c r="B102" s="3">
        <v>206</v>
      </c>
      <c r="C102" s="3">
        <v>252</v>
      </c>
      <c r="D102" s="3">
        <v>266</v>
      </c>
      <c r="E102" s="3">
        <v>294</v>
      </c>
      <c r="F102" s="3">
        <v>160</v>
      </c>
      <c r="G102" s="3">
        <v>121</v>
      </c>
      <c r="H102" s="3">
        <v>179</v>
      </c>
      <c r="I102" s="3">
        <v>160</v>
      </c>
    </row>
    <row r="103" spans="1:9" s="17" customFormat="1" x14ac:dyDescent="0.3">
      <c r="A103" s="11" t="s">
        <v>96</v>
      </c>
      <c r="B103" s="3">
        <v>240</v>
      </c>
      <c r="C103" s="3">
        <v>271</v>
      </c>
      <c r="D103" s="3">
        <v>300</v>
      </c>
      <c r="E103" s="3">
        <v>320</v>
      </c>
      <c r="F103" s="3">
        <v>347</v>
      </c>
      <c r="G103" s="3">
        <v>386</v>
      </c>
      <c r="H103" s="3">
        <v>438</v>
      </c>
      <c r="I103" s="3">
        <v>480</v>
      </c>
    </row>
    <row r="105" spans="1:9" x14ac:dyDescent="0.3">
      <c r="A105" s="14" t="s">
        <v>99</v>
      </c>
      <c r="B105" s="14"/>
      <c r="C105" s="14"/>
      <c r="D105" s="14"/>
      <c r="E105" s="14"/>
      <c r="F105" s="14"/>
      <c r="G105" s="14"/>
      <c r="H105" s="14"/>
      <c r="I105" s="14"/>
    </row>
    <row r="106" spans="1:9" x14ac:dyDescent="0.3">
      <c r="A106" s="29" t="s">
        <v>109</v>
      </c>
      <c r="B106" s="3"/>
      <c r="C106" s="3"/>
      <c r="D106" s="3"/>
      <c r="E106" s="3"/>
      <c r="F106" s="3"/>
      <c r="G106" s="3"/>
      <c r="H106" s="3"/>
      <c r="I106" s="3"/>
    </row>
    <row r="107" spans="1:9" x14ac:dyDescent="0.3">
      <c r="A107" s="2" t="s">
        <v>100</v>
      </c>
      <c r="B107" s="3">
        <f t="shared" ref="B107:H107" si="18">+SUM(B108:B110)</f>
        <v>13740</v>
      </c>
      <c r="C107" s="3">
        <f t="shared" si="18"/>
        <v>14764</v>
      </c>
      <c r="D107" s="3">
        <f t="shared" si="18"/>
        <v>15216</v>
      </c>
      <c r="E107" s="3">
        <f t="shared" si="18"/>
        <v>14855</v>
      </c>
      <c r="F107" s="3">
        <f t="shared" si="18"/>
        <v>15902</v>
      </c>
      <c r="G107" s="3">
        <f t="shared" si="18"/>
        <v>14484</v>
      </c>
      <c r="H107" s="3">
        <f t="shared" si="18"/>
        <v>17179</v>
      </c>
      <c r="I107" s="3">
        <f>+SUM(I108:I110)</f>
        <v>18353</v>
      </c>
    </row>
    <row r="108" spans="1:9" x14ac:dyDescent="0.3">
      <c r="A108" s="11" t="s">
        <v>113</v>
      </c>
      <c r="B108">
        <v>8506</v>
      </c>
      <c r="C108">
        <v>9299</v>
      </c>
      <c r="D108">
        <v>9684</v>
      </c>
      <c r="E108">
        <v>9322</v>
      </c>
      <c r="F108">
        <v>10045</v>
      </c>
      <c r="G108">
        <v>9329</v>
      </c>
      <c r="H108" s="8">
        <v>11644</v>
      </c>
      <c r="I108" s="8">
        <v>12228</v>
      </c>
    </row>
    <row r="109" spans="1:9" x14ac:dyDescent="0.3">
      <c r="A109" s="11" t="s">
        <v>114</v>
      </c>
      <c r="B109">
        <v>4410</v>
      </c>
      <c r="C109">
        <v>4746</v>
      </c>
      <c r="D109">
        <v>4886</v>
      </c>
      <c r="E109">
        <v>4938</v>
      </c>
      <c r="F109">
        <v>5260</v>
      </c>
      <c r="G109">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f t="shared" ref="B111" si="19">+SUM(B112:B114)</f>
        <v>7126</v>
      </c>
      <c r="C111" s="3">
        <f t="shared" ref="C111" si="20">+SUM(C112:C114)</f>
        <v>7568</v>
      </c>
      <c r="D111" s="3">
        <f t="shared" ref="D111" si="21">+SUM(D112:D114)</f>
        <v>7970</v>
      </c>
      <c r="E111" s="3">
        <f t="shared" ref="E111" si="22">+SUM(E112:E114)</f>
        <v>9242</v>
      </c>
      <c r="F111" s="3">
        <f t="shared" ref="F111" si="23">+SUM(F112:F114)</f>
        <v>9812</v>
      </c>
      <c r="G111" s="3">
        <f t="shared" ref="G111" si="24">+SUM(G112:G114)</f>
        <v>9347</v>
      </c>
      <c r="H111" s="3">
        <f t="shared" ref="H111" si="25">+SUM(H112:H114)</f>
        <v>11456</v>
      </c>
      <c r="I111" s="3">
        <f>+SUM(I112:I114)</f>
        <v>12479</v>
      </c>
    </row>
    <row r="112" spans="1:9" x14ac:dyDescent="0.3">
      <c r="A112" s="11" t="s">
        <v>113</v>
      </c>
      <c r="B112">
        <v>4703</v>
      </c>
      <c r="C112">
        <v>5043</v>
      </c>
      <c r="D112">
        <v>5192</v>
      </c>
      <c r="E112">
        <v>5875</v>
      </c>
      <c r="F112">
        <v>6293</v>
      </c>
      <c r="G112">
        <v>5892</v>
      </c>
      <c r="H112" s="8">
        <v>6970</v>
      </c>
      <c r="I112" s="8">
        <v>7388</v>
      </c>
    </row>
    <row r="113" spans="1:9" x14ac:dyDescent="0.3">
      <c r="A113" s="11" t="s">
        <v>114</v>
      </c>
      <c r="B113">
        <v>2051</v>
      </c>
      <c r="C113">
        <v>2149</v>
      </c>
      <c r="D113">
        <v>2395</v>
      </c>
      <c r="E113">
        <v>2940</v>
      </c>
      <c r="F113">
        <v>3087</v>
      </c>
      <c r="G113">
        <v>3053</v>
      </c>
      <c r="H113" s="8">
        <v>3996</v>
      </c>
      <c r="I113" s="8">
        <v>4527</v>
      </c>
    </row>
    <row r="114" spans="1:9" x14ac:dyDescent="0.3">
      <c r="A114" s="11" t="s">
        <v>115</v>
      </c>
      <c r="B114">
        <v>372</v>
      </c>
      <c r="C114">
        <v>376</v>
      </c>
      <c r="D114">
        <v>383</v>
      </c>
      <c r="E114">
        <v>427</v>
      </c>
      <c r="F114">
        <v>432</v>
      </c>
      <c r="G114">
        <v>402</v>
      </c>
      <c r="H114">
        <v>490</v>
      </c>
      <c r="I114">
        <v>564</v>
      </c>
    </row>
    <row r="115" spans="1:9" x14ac:dyDescent="0.3">
      <c r="A115" s="2" t="s">
        <v>102</v>
      </c>
      <c r="B115" s="3">
        <f t="shared" ref="B115" si="26">+SUM(B116:B118)</f>
        <v>3067</v>
      </c>
      <c r="C115" s="3">
        <f t="shared" ref="C115" si="27">+SUM(C116:C118)</f>
        <v>3785</v>
      </c>
      <c r="D115" s="3">
        <f t="shared" ref="D115" si="28">+SUM(D116:D118)</f>
        <v>4237</v>
      </c>
      <c r="E115" s="3">
        <f t="shared" ref="E115" si="29">+SUM(E116:E118)</f>
        <v>5134</v>
      </c>
      <c r="F115" s="3">
        <f t="shared" ref="F115" si="30">+SUM(F116:F118)</f>
        <v>6208</v>
      </c>
      <c r="G115" s="3">
        <f t="shared" ref="G115" si="31">+SUM(G116:G118)</f>
        <v>6679</v>
      </c>
      <c r="H115" s="3">
        <f t="shared" ref="H115" si="32">+SUM(H116:H118)</f>
        <v>8290</v>
      </c>
      <c r="I115" s="3">
        <f>+SUM(I116:I118)</f>
        <v>7547</v>
      </c>
    </row>
    <row r="116" spans="1:9" x14ac:dyDescent="0.3">
      <c r="A116" s="11" t="s">
        <v>113</v>
      </c>
      <c r="B116">
        <v>2016</v>
      </c>
      <c r="C116">
        <v>2599</v>
      </c>
      <c r="D116">
        <v>2920</v>
      </c>
      <c r="E116">
        <v>3496</v>
      </c>
      <c r="F116">
        <v>4262</v>
      </c>
      <c r="G116">
        <v>4635</v>
      </c>
      <c r="H116" s="8">
        <v>5748</v>
      </c>
      <c r="I116" s="8">
        <v>5416</v>
      </c>
    </row>
    <row r="117" spans="1:9" x14ac:dyDescent="0.3">
      <c r="A117" s="11" t="s">
        <v>114</v>
      </c>
      <c r="B117">
        <v>925</v>
      </c>
      <c r="C117">
        <v>1055</v>
      </c>
      <c r="D117">
        <v>1188</v>
      </c>
      <c r="E117">
        <v>1508</v>
      </c>
      <c r="F117">
        <v>1808</v>
      </c>
      <c r="G117">
        <v>1896</v>
      </c>
      <c r="H117" s="8">
        <v>2347</v>
      </c>
      <c r="I117" s="8">
        <v>1938</v>
      </c>
    </row>
    <row r="118" spans="1:9" x14ac:dyDescent="0.3">
      <c r="A118" s="11" t="s">
        <v>115</v>
      </c>
      <c r="B118">
        <v>126</v>
      </c>
      <c r="C118">
        <v>131</v>
      </c>
      <c r="D118">
        <v>129</v>
      </c>
      <c r="E118">
        <v>130</v>
      </c>
      <c r="F118">
        <v>138</v>
      </c>
      <c r="G118">
        <v>148</v>
      </c>
      <c r="H118">
        <v>195</v>
      </c>
      <c r="I118">
        <v>193</v>
      </c>
    </row>
    <row r="119" spans="1:9" x14ac:dyDescent="0.3">
      <c r="A119" s="2" t="s">
        <v>106</v>
      </c>
      <c r="B119" s="3">
        <f t="shared" ref="B119" si="33">+SUM(B120:B122)</f>
        <v>4653</v>
      </c>
      <c r="C119" s="3">
        <f t="shared" ref="C119" si="34">+SUM(C120:C122)</f>
        <v>4317</v>
      </c>
      <c r="D119" s="3">
        <f t="shared" ref="D119" si="35">+SUM(D120:D122)</f>
        <v>4737</v>
      </c>
      <c r="E119" s="3">
        <f t="shared" ref="E119" si="36">+SUM(E120:E122)</f>
        <v>5166</v>
      </c>
      <c r="F119" s="3">
        <f t="shared" ref="F119" si="37">+SUM(F120:F122)</f>
        <v>5254</v>
      </c>
      <c r="G119" s="3">
        <f t="shared" ref="G119" si="38">+SUM(G120:G122)</f>
        <v>5028</v>
      </c>
      <c r="H119" s="3">
        <f t="shared" ref="H119" si="39">+SUM(H120:H122)</f>
        <v>5343</v>
      </c>
      <c r="I119" s="3">
        <f>+SUM(I120:I122)</f>
        <v>5955</v>
      </c>
    </row>
    <row r="120" spans="1:9" x14ac:dyDescent="0.3">
      <c r="A120" s="11" t="s">
        <v>113</v>
      </c>
      <c r="B120">
        <v>3093</v>
      </c>
      <c r="C120">
        <v>2930</v>
      </c>
      <c r="D120">
        <v>3285</v>
      </c>
      <c r="E120">
        <v>3575</v>
      </c>
      <c r="F120">
        <v>3622</v>
      </c>
      <c r="G120">
        <v>3449</v>
      </c>
      <c r="H120" s="8">
        <v>3659</v>
      </c>
      <c r="I120" s="8">
        <v>4111</v>
      </c>
    </row>
    <row r="121" spans="1:9" x14ac:dyDescent="0.3">
      <c r="A121" s="11" t="s">
        <v>114</v>
      </c>
      <c r="B121">
        <v>1251</v>
      </c>
      <c r="C121">
        <v>1117</v>
      </c>
      <c r="D121">
        <v>1185</v>
      </c>
      <c r="E121">
        <v>1347</v>
      </c>
      <c r="F121">
        <v>1395</v>
      </c>
      <c r="G121">
        <v>1365</v>
      </c>
      <c r="H121" s="8">
        <v>1494</v>
      </c>
      <c r="I121" s="8">
        <v>1610</v>
      </c>
    </row>
    <row r="122" spans="1:9" x14ac:dyDescent="0.3">
      <c r="A122" s="11" t="s">
        <v>115</v>
      </c>
      <c r="B122">
        <v>309</v>
      </c>
      <c r="C122">
        <v>270</v>
      </c>
      <c r="D122">
        <v>267</v>
      </c>
      <c r="E122">
        <v>244</v>
      </c>
      <c r="F122">
        <v>237</v>
      </c>
      <c r="G122">
        <v>214</v>
      </c>
      <c r="H122">
        <v>190</v>
      </c>
      <c r="I122">
        <v>234</v>
      </c>
    </row>
    <row r="123" spans="1:9" x14ac:dyDescent="0.3">
      <c r="A123" s="2" t="s">
        <v>107</v>
      </c>
      <c r="B123" s="3">
        <v>115</v>
      </c>
      <c r="C123" s="3">
        <v>73</v>
      </c>
      <c r="D123" s="3">
        <v>73</v>
      </c>
      <c r="E123" s="3">
        <v>88</v>
      </c>
      <c r="F123" s="3">
        <v>42</v>
      </c>
      <c r="G123" s="3">
        <v>30</v>
      </c>
      <c r="H123" s="3">
        <v>25</v>
      </c>
      <c r="I123" s="3">
        <v>102</v>
      </c>
    </row>
    <row r="124" spans="1:9" x14ac:dyDescent="0.3">
      <c r="A124" s="4" t="s">
        <v>103</v>
      </c>
      <c r="B124" s="5">
        <f t="shared" ref="B124:I124" si="40">+B107+B111+B115+B119+B123</f>
        <v>28701</v>
      </c>
      <c r="C124" s="5">
        <f t="shared" si="40"/>
        <v>30507</v>
      </c>
      <c r="D124" s="5">
        <f t="shared" si="40"/>
        <v>32233</v>
      </c>
      <c r="E124" s="5">
        <f t="shared" si="40"/>
        <v>34485</v>
      </c>
      <c r="F124" s="5">
        <f t="shared" si="40"/>
        <v>37218</v>
      </c>
      <c r="G124" s="5">
        <f t="shared" si="40"/>
        <v>35568</v>
      </c>
      <c r="H124" s="5">
        <f t="shared" si="40"/>
        <v>42293</v>
      </c>
      <c r="I124" s="5">
        <f t="shared" si="40"/>
        <v>44436</v>
      </c>
    </row>
    <row r="125" spans="1:9" x14ac:dyDescent="0.3">
      <c r="A125" s="2" t="s">
        <v>104</v>
      </c>
      <c r="B125" s="3">
        <f t="shared" ref="B125:G125" si="41">+SUM(B126:B129)</f>
        <v>1982</v>
      </c>
      <c r="C125" s="3">
        <f t="shared" si="41"/>
        <v>1955</v>
      </c>
      <c r="D125" s="3">
        <f t="shared" si="41"/>
        <v>2042</v>
      </c>
      <c r="E125" s="3">
        <f t="shared" si="41"/>
        <v>1886</v>
      </c>
      <c r="F125" s="3">
        <f t="shared" si="41"/>
        <v>1906</v>
      </c>
      <c r="G125" s="3">
        <f t="shared" si="41"/>
        <v>1846</v>
      </c>
      <c r="H125" s="3">
        <f>+SUM(H126:H129)</f>
        <v>2205</v>
      </c>
      <c r="I125" s="3">
        <f>+SUM(I126:I129)</f>
        <v>2346</v>
      </c>
    </row>
    <row r="126" spans="1:9" x14ac:dyDescent="0.3">
      <c r="A126" s="11" t="s">
        <v>113</v>
      </c>
      <c r="B126" s="3"/>
      <c r="C126" s="3"/>
      <c r="D126" s="3"/>
      <c r="E126" s="3">
        <v>1611</v>
      </c>
      <c r="F126" s="3">
        <v>1658</v>
      </c>
      <c r="G126" s="3">
        <v>1642</v>
      </c>
      <c r="H126" s="3">
        <v>1986</v>
      </c>
      <c r="I126" s="3">
        <v>2094</v>
      </c>
    </row>
    <row r="127" spans="1:9" x14ac:dyDescent="0.3">
      <c r="A127" s="11" t="s">
        <v>114</v>
      </c>
      <c r="B127" s="3"/>
      <c r="C127" s="3"/>
      <c r="D127" s="3"/>
      <c r="E127" s="3">
        <v>144</v>
      </c>
      <c r="F127" s="3">
        <v>118</v>
      </c>
      <c r="G127" s="3">
        <v>89</v>
      </c>
      <c r="H127" s="3">
        <v>104</v>
      </c>
      <c r="I127" s="3">
        <v>103</v>
      </c>
    </row>
    <row r="128" spans="1:9" x14ac:dyDescent="0.3">
      <c r="A128" s="11" t="s">
        <v>115</v>
      </c>
      <c r="B128" s="3"/>
      <c r="C128" s="3"/>
      <c r="D128" s="3"/>
      <c r="E128" s="3">
        <v>28</v>
      </c>
      <c r="F128" s="3">
        <v>24</v>
      </c>
      <c r="G128" s="3">
        <v>25</v>
      </c>
      <c r="H128" s="3">
        <v>29</v>
      </c>
      <c r="I128" s="3">
        <v>26</v>
      </c>
    </row>
    <row r="129" spans="1:9" x14ac:dyDescent="0.3">
      <c r="A129" s="11" t="s">
        <v>121</v>
      </c>
      <c r="B129" s="3">
        <v>1982</v>
      </c>
      <c r="C129" s="3">
        <v>1955</v>
      </c>
      <c r="D129" s="3">
        <v>2042</v>
      </c>
      <c r="E129" s="3">
        <v>103</v>
      </c>
      <c r="F129" s="3">
        <v>106</v>
      </c>
      <c r="G129" s="3">
        <v>90</v>
      </c>
      <c r="H129" s="3">
        <v>86</v>
      </c>
      <c r="I129" s="3">
        <v>123</v>
      </c>
    </row>
    <row r="130" spans="1:9" x14ac:dyDescent="0.3">
      <c r="A130" s="2" t="s">
        <v>108</v>
      </c>
      <c r="B130" s="3">
        <v>-82</v>
      </c>
      <c r="C130" s="3">
        <v>-86</v>
      </c>
      <c r="D130" s="3">
        <v>75</v>
      </c>
      <c r="E130" s="3">
        <v>26</v>
      </c>
      <c r="F130" s="3">
        <v>-7</v>
      </c>
      <c r="G130" s="3">
        <v>-11</v>
      </c>
      <c r="H130" s="3">
        <v>40</v>
      </c>
      <c r="I130" s="3">
        <v>-72</v>
      </c>
    </row>
    <row r="131" spans="1:9" ht="15" thickBot="1" x14ac:dyDescent="0.35">
      <c r="A131" s="6" t="s">
        <v>105</v>
      </c>
      <c r="B131" s="7">
        <f t="shared" ref="B131:G131" si="42">+B124+B125+B130</f>
        <v>30601</v>
      </c>
      <c r="C131" s="7">
        <f t="shared" si="42"/>
        <v>32376</v>
      </c>
      <c r="D131" s="7">
        <f t="shared" si="42"/>
        <v>34350</v>
      </c>
      <c r="E131" s="7">
        <f t="shared" si="42"/>
        <v>36397</v>
      </c>
      <c r="F131" s="7">
        <f t="shared" si="42"/>
        <v>39117</v>
      </c>
      <c r="G131" s="7">
        <f t="shared" si="42"/>
        <v>37403</v>
      </c>
      <c r="H131" s="7">
        <f>+H124+H125+H130</f>
        <v>44538</v>
      </c>
      <c r="I131" s="7">
        <f>+I124+I125+I130</f>
        <v>46710</v>
      </c>
    </row>
    <row r="132" spans="1:9" s="12" customFormat="1" ht="15" thickTop="1" x14ac:dyDescent="0.3">
      <c r="A132" s="12" t="s">
        <v>111</v>
      </c>
      <c r="B132" s="13">
        <f>+I131-I2</f>
        <v>0</v>
      </c>
      <c r="C132" s="13">
        <f t="shared" ref="C132:G132" si="43">+C131-C2</f>
        <v>0</v>
      </c>
      <c r="D132" s="13">
        <f t="shared" si="43"/>
        <v>0</v>
      </c>
      <c r="E132" s="13">
        <f t="shared" si="43"/>
        <v>0</v>
      </c>
      <c r="F132" s="13">
        <f t="shared" si="43"/>
        <v>0</v>
      </c>
      <c r="G132" s="13">
        <f t="shared" si="43"/>
        <v>0</v>
      </c>
      <c r="H132" s="13">
        <f>+H131-H2</f>
        <v>0</v>
      </c>
      <c r="I132" s="13">
        <f>+I131-I2</f>
        <v>0</v>
      </c>
    </row>
    <row r="133" spans="1:9" x14ac:dyDescent="0.3">
      <c r="A133" s="1" t="s">
        <v>110</v>
      </c>
    </row>
    <row r="134" spans="1:9" x14ac:dyDescent="0.3">
      <c r="A134" s="2" t="s">
        <v>100</v>
      </c>
      <c r="B134" s="3">
        <v>3645</v>
      </c>
      <c r="C134" s="3">
        <v>3763</v>
      </c>
      <c r="D134" s="3">
        <v>3875</v>
      </c>
      <c r="E134" s="3">
        <v>3600</v>
      </c>
      <c r="F134" s="3">
        <v>3925</v>
      </c>
      <c r="G134" s="3">
        <v>2899</v>
      </c>
      <c r="H134" s="3">
        <v>5089</v>
      </c>
      <c r="I134" s="3">
        <v>5114</v>
      </c>
    </row>
    <row r="135" spans="1:9" x14ac:dyDescent="0.3">
      <c r="A135" s="2" t="s">
        <v>101</v>
      </c>
      <c r="B135" s="3">
        <v>1524</v>
      </c>
      <c r="C135" s="3">
        <v>1787</v>
      </c>
      <c r="D135" s="3">
        <v>1507</v>
      </c>
      <c r="E135" s="3">
        <v>1587</v>
      </c>
      <c r="F135" s="3">
        <v>1995</v>
      </c>
      <c r="G135" s="3">
        <v>1541</v>
      </c>
      <c r="H135" s="3">
        <v>2435</v>
      </c>
      <c r="I135" s="3">
        <v>3293</v>
      </c>
    </row>
    <row r="136" spans="1:9" x14ac:dyDescent="0.3">
      <c r="A136" s="2" t="s">
        <v>102</v>
      </c>
      <c r="B136" s="3">
        <v>993</v>
      </c>
      <c r="C136" s="3">
        <v>1372</v>
      </c>
      <c r="D136" s="3">
        <v>1507</v>
      </c>
      <c r="E136" s="3">
        <v>1807</v>
      </c>
      <c r="F136" s="3">
        <v>2376</v>
      </c>
      <c r="G136" s="3">
        <v>2490</v>
      </c>
      <c r="H136" s="3">
        <v>3243</v>
      </c>
      <c r="I136" s="3">
        <v>2365</v>
      </c>
    </row>
    <row r="137" spans="1:9" x14ac:dyDescent="0.3">
      <c r="A137" s="2" t="s">
        <v>106</v>
      </c>
      <c r="B137" s="3">
        <v>918</v>
      </c>
      <c r="C137" s="3">
        <v>1002</v>
      </c>
      <c r="D137" s="3">
        <v>980</v>
      </c>
      <c r="E137" s="3">
        <v>1189</v>
      </c>
      <c r="F137" s="3">
        <v>1323</v>
      </c>
      <c r="G137" s="3">
        <v>1184</v>
      </c>
      <c r="H137" s="3">
        <v>1530</v>
      </c>
      <c r="I137" s="3">
        <v>1896</v>
      </c>
    </row>
    <row r="138" spans="1:9" x14ac:dyDescent="0.3">
      <c r="A138" s="2" t="s">
        <v>107</v>
      </c>
      <c r="B138" s="3">
        <v>-2267</v>
      </c>
      <c r="C138" s="3">
        <v>-2596</v>
      </c>
      <c r="D138" s="3">
        <v>-2677</v>
      </c>
      <c r="E138" s="3">
        <v>-2658</v>
      </c>
      <c r="F138" s="3">
        <v>-3262</v>
      </c>
      <c r="G138" s="3">
        <v>-3468</v>
      </c>
      <c r="H138" s="3">
        <v>-3656</v>
      </c>
      <c r="I138" s="3">
        <v>-4262</v>
      </c>
    </row>
    <row r="139" spans="1:9" x14ac:dyDescent="0.3">
      <c r="A139" s="4" t="s">
        <v>103</v>
      </c>
      <c r="B139" s="5">
        <f t="shared" ref="B139:I139" si="44">+SUM(B134:B138)</f>
        <v>4813</v>
      </c>
      <c r="C139" s="5">
        <f t="shared" si="44"/>
        <v>5328</v>
      </c>
      <c r="D139" s="5">
        <f t="shared" si="44"/>
        <v>5192</v>
      </c>
      <c r="E139" s="5">
        <f t="shared" si="44"/>
        <v>5525</v>
      </c>
      <c r="F139" s="5">
        <f t="shared" si="44"/>
        <v>6357</v>
      </c>
      <c r="G139" s="5">
        <f t="shared" si="44"/>
        <v>4646</v>
      </c>
      <c r="H139" s="5">
        <f t="shared" si="44"/>
        <v>8641</v>
      </c>
      <c r="I139" s="5">
        <f t="shared" si="44"/>
        <v>8406</v>
      </c>
    </row>
    <row r="140" spans="1:9" x14ac:dyDescent="0.3">
      <c r="A140" s="2" t="s">
        <v>104</v>
      </c>
      <c r="B140" s="3">
        <v>517</v>
      </c>
      <c r="C140" s="3">
        <v>487</v>
      </c>
      <c r="D140" s="3">
        <v>477</v>
      </c>
      <c r="E140" s="3">
        <v>310</v>
      </c>
      <c r="F140" s="3">
        <v>303</v>
      </c>
      <c r="G140" s="3">
        <v>297</v>
      </c>
      <c r="H140" s="3">
        <v>543</v>
      </c>
      <c r="I140" s="3">
        <v>669</v>
      </c>
    </row>
    <row r="141" spans="1:9" x14ac:dyDescent="0.3">
      <c r="A141" s="2" t="s">
        <v>108</v>
      </c>
      <c r="B141" s="3">
        <v>-1097</v>
      </c>
      <c r="C141" s="3">
        <v>-1173</v>
      </c>
      <c r="D141" s="3">
        <v>-724</v>
      </c>
      <c r="E141" s="3">
        <v>-1456</v>
      </c>
      <c r="F141" s="3">
        <v>-1810</v>
      </c>
      <c r="G141" s="3">
        <v>-1967</v>
      </c>
      <c r="H141" s="3">
        <v>-2261</v>
      </c>
      <c r="I141" s="3">
        <v>-2219</v>
      </c>
    </row>
    <row r="142" spans="1:9" ht="15" thickBot="1" x14ac:dyDescent="0.35">
      <c r="A142" s="6" t="s">
        <v>112</v>
      </c>
      <c r="B142" s="7">
        <f t="shared" ref="B142" si="45">+SUM(B139:B141)</f>
        <v>4233</v>
      </c>
      <c r="C142" s="7">
        <f t="shared" ref="C142" si="46">+SUM(C139:C141)</f>
        <v>4642</v>
      </c>
      <c r="D142" s="7">
        <f t="shared" ref="D142" si="47">+SUM(D139:D141)</f>
        <v>4945</v>
      </c>
      <c r="E142" s="7">
        <f t="shared" ref="E142" si="48">+SUM(E139:E141)</f>
        <v>4379</v>
      </c>
      <c r="F142" s="7">
        <f t="shared" ref="F142" si="49">+SUM(F139:F141)</f>
        <v>4850</v>
      </c>
      <c r="G142" s="7">
        <f t="shared" ref="G142" si="50">+SUM(G139:G141)</f>
        <v>2976</v>
      </c>
      <c r="H142" s="7">
        <f t="shared" ref="H142" si="51">+SUM(H139:H141)</f>
        <v>6923</v>
      </c>
      <c r="I142" s="7">
        <f>+SUM(I139:I141)</f>
        <v>6856</v>
      </c>
    </row>
    <row r="143" spans="1:9" s="12" customFormat="1" ht="15" thickTop="1" x14ac:dyDescent="0.3">
      <c r="A143" s="12" t="s">
        <v>111</v>
      </c>
      <c r="B143" s="13">
        <f t="shared" ref="B143:H143" si="52">+B142-B10-B8</f>
        <v>0</v>
      </c>
      <c r="C143" s="13">
        <f t="shared" si="52"/>
        <v>0</v>
      </c>
      <c r="D143" s="13">
        <f t="shared" si="52"/>
        <v>0</v>
      </c>
      <c r="E143" s="13">
        <f t="shared" si="52"/>
        <v>0</v>
      </c>
      <c r="F143" s="13">
        <f t="shared" si="52"/>
        <v>0</v>
      </c>
      <c r="G143" s="13">
        <f t="shared" si="52"/>
        <v>0</v>
      </c>
      <c r="H143" s="13">
        <f t="shared" si="52"/>
        <v>0</v>
      </c>
      <c r="I143" s="13">
        <f>+I142-I10-I8</f>
        <v>0</v>
      </c>
    </row>
    <row r="144" spans="1:9" x14ac:dyDescent="0.3">
      <c r="A144" s="1" t="s">
        <v>117</v>
      </c>
    </row>
    <row r="145" spans="1:9" x14ac:dyDescent="0.3">
      <c r="A145" s="2" t="s">
        <v>100</v>
      </c>
      <c r="B145" s="3">
        <v>632</v>
      </c>
      <c r="C145" s="3">
        <v>742</v>
      </c>
      <c r="D145" s="3">
        <v>819</v>
      </c>
      <c r="E145" s="3">
        <v>848</v>
      </c>
      <c r="F145" s="3">
        <v>814</v>
      </c>
      <c r="G145" s="3">
        <v>645</v>
      </c>
      <c r="H145" s="3">
        <v>617</v>
      </c>
      <c r="I145" s="3">
        <v>639</v>
      </c>
    </row>
    <row r="146" spans="1:9" x14ac:dyDescent="0.3">
      <c r="A146" s="2" t="s">
        <v>101</v>
      </c>
      <c r="B146" s="3">
        <v>498</v>
      </c>
      <c r="C146" s="3">
        <v>639</v>
      </c>
      <c r="D146" s="3">
        <v>709</v>
      </c>
      <c r="E146" s="3">
        <v>849</v>
      </c>
      <c r="F146" s="3">
        <v>929</v>
      </c>
      <c r="G146" s="3">
        <v>885</v>
      </c>
      <c r="H146" s="3">
        <v>982</v>
      </c>
      <c r="I146" s="3">
        <v>920</v>
      </c>
    </row>
    <row r="147" spans="1:9" x14ac:dyDescent="0.3">
      <c r="A147" s="2" t="s">
        <v>102</v>
      </c>
      <c r="B147" s="3">
        <v>254</v>
      </c>
      <c r="C147" s="3">
        <v>234</v>
      </c>
      <c r="D147" s="3">
        <v>225</v>
      </c>
      <c r="E147" s="3">
        <v>256</v>
      </c>
      <c r="F147" s="3">
        <v>237</v>
      </c>
      <c r="G147" s="3">
        <v>214</v>
      </c>
      <c r="H147" s="3">
        <v>288</v>
      </c>
      <c r="I147" s="3">
        <v>303</v>
      </c>
    </row>
    <row r="148" spans="1:9" x14ac:dyDescent="0.3">
      <c r="A148" s="2" t="s">
        <v>118</v>
      </c>
      <c r="B148" s="3">
        <v>308</v>
      </c>
      <c r="C148" s="3">
        <v>332</v>
      </c>
      <c r="D148" s="3">
        <v>340</v>
      </c>
      <c r="E148" s="3">
        <v>339</v>
      </c>
      <c r="F148" s="3">
        <v>326</v>
      </c>
      <c r="G148" s="3">
        <v>296</v>
      </c>
      <c r="H148" s="3">
        <v>304</v>
      </c>
      <c r="I148" s="3">
        <v>274</v>
      </c>
    </row>
    <row r="149" spans="1:9" x14ac:dyDescent="0.3">
      <c r="A149" s="2" t="s">
        <v>107</v>
      </c>
      <c r="B149" s="3">
        <v>484</v>
      </c>
      <c r="C149" s="3">
        <v>511</v>
      </c>
      <c r="D149" s="3">
        <v>533</v>
      </c>
      <c r="E149" s="3">
        <v>597</v>
      </c>
      <c r="F149" s="3">
        <v>665</v>
      </c>
      <c r="G149" s="3">
        <v>830</v>
      </c>
      <c r="H149" s="3">
        <v>780</v>
      </c>
      <c r="I149" s="3">
        <v>789</v>
      </c>
    </row>
    <row r="150" spans="1:9" x14ac:dyDescent="0.3">
      <c r="A150" s="4" t="s">
        <v>119</v>
      </c>
      <c r="B150" s="5">
        <f t="shared" ref="B150:I150" si="53">+SUM(B145:B149)</f>
        <v>2176</v>
      </c>
      <c r="C150" s="5">
        <f t="shared" si="53"/>
        <v>2458</v>
      </c>
      <c r="D150" s="5">
        <f t="shared" si="53"/>
        <v>2626</v>
      </c>
      <c r="E150" s="5">
        <f t="shared" si="53"/>
        <v>2889</v>
      </c>
      <c r="F150" s="5">
        <f t="shared" si="53"/>
        <v>2971</v>
      </c>
      <c r="G150" s="5">
        <f t="shared" si="53"/>
        <v>2870</v>
      </c>
      <c r="H150" s="5">
        <f t="shared" si="53"/>
        <v>2971</v>
      </c>
      <c r="I150" s="5">
        <f t="shared" si="53"/>
        <v>2925</v>
      </c>
    </row>
    <row r="151" spans="1:9" x14ac:dyDescent="0.3">
      <c r="A151" s="2" t="s">
        <v>104</v>
      </c>
      <c r="B151" s="3">
        <v>122</v>
      </c>
      <c r="C151" s="3">
        <v>125</v>
      </c>
      <c r="D151" s="3">
        <v>125</v>
      </c>
      <c r="E151" s="3">
        <v>115</v>
      </c>
      <c r="F151" s="3">
        <v>100</v>
      </c>
      <c r="G151" s="3">
        <v>80</v>
      </c>
      <c r="H151" s="3">
        <v>63</v>
      </c>
      <c r="I151" s="3">
        <v>49</v>
      </c>
    </row>
    <row r="152" spans="1:9" x14ac:dyDescent="0.3">
      <c r="A152" s="2" t="s">
        <v>108</v>
      </c>
      <c r="B152" s="3">
        <v>713</v>
      </c>
      <c r="C152" s="3">
        <v>937</v>
      </c>
      <c r="D152" s="3">
        <v>1238</v>
      </c>
      <c r="E152" s="3">
        <v>1450</v>
      </c>
      <c r="F152" s="3">
        <v>1673</v>
      </c>
      <c r="G152" s="3">
        <v>1916</v>
      </c>
      <c r="H152" s="3">
        <v>1870</v>
      </c>
      <c r="I152" s="3">
        <v>1817</v>
      </c>
    </row>
    <row r="153" spans="1:9" ht="15" thickBot="1" x14ac:dyDescent="0.35">
      <c r="A153" s="6" t="s">
        <v>120</v>
      </c>
      <c r="B153" s="7">
        <f t="shared" ref="B153:H153" si="54">+SUM(B150:B152)</f>
        <v>3011</v>
      </c>
      <c r="C153" s="7">
        <f t="shared" si="54"/>
        <v>3520</v>
      </c>
      <c r="D153" s="7">
        <f t="shared" si="54"/>
        <v>3989</v>
      </c>
      <c r="E153" s="7">
        <f t="shared" si="54"/>
        <v>4454</v>
      </c>
      <c r="F153" s="7">
        <f t="shared" si="54"/>
        <v>4744</v>
      </c>
      <c r="G153" s="7">
        <f t="shared" si="54"/>
        <v>4866</v>
      </c>
      <c r="H153" s="7">
        <f t="shared" si="54"/>
        <v>4904</v>
      </c>
      <c r="I153" s="7">
        <f>+SUM(I150:I152)</f>
        <v>4791</v>
      </c>
    </row>
    <row r="154" spans="1:9" ht="15" thickTop="1" x14ac:dyDescent="0.3">
      <c r="A154" s="12" t="s">
        <v>111</v>
      </c>
      <c r="B154" s="13">
        <f t="shared" ref="B154:H154" si="55">+B153-B31</f>
        <v>0</v>
      </c>
      <c r="C154" s="13">
        <f t="shared" si="55"/>
        <v>0</v>
      </c>
      <c r="D154" s="13">
        <f t="shared" si="55"/>
        <v>0</v>
      </c>
      <c r="E154" s="13">
        <f t="shared" si="55"/>
        <v>0</v>
      </c>
      <c r="F154" s="13">
        <f t="shared" si="55"/>
        <v>0</v>
      </c>
      <c r="G154" s="13">
        <f t="shared" si="55"/>
        <v>0</v>
      </c>
      <c r="H154" s="13">
        <f t="shared" si="55"/>
        <v>0</v>
      </c>
      <c r="I154" s="13">
        <f>+I153-I31</f>
        <v>0</v>
      </c>
    </row>
    <row r="155" spans="1:9" x14ac:dyDescent="0.3">
      <c r="A155" s="1" t="s">
        <v>122</v>
      </c>
    </row>
    <row r="156" spans="1:9" x14ac:dyDescent="0.3">
      <c r="A156" s="2" t="s">
        <v>100</v>
      </c>
      <c r="B156" s="3">
        <v>208</v>
      </c>
      <c r="C156" s="3">
        <v>242</v>
      </c>
      <c r="D156" s="3">
        <v>223</v>
      </c>
      <c r="E156" s="3">
        <v>196</v>
      </c>
      <c r="F156" s="3">
        <v>117</v>
      </c>
      <c r="G156" s="3">
        <v>110</v>
      </c>
      <c r="H156" s="3">
        <v>98</v>
      </c>
      <c r="I156" s="3">
        <v>146</v>
      </c>
    </row>
    <row r="157" spans="1:9" x14ac:dyDescent="0.3">
      <c r="A157" s="2" t="s">
        <v>101</v>
      </c>
      <c r="B157" s="3">
        <v>236</v>
      </c>
      <c r="C157" s="3">
        <v>232</v>
      </c>
      <c r="D157" s="3">
        <v>173</v>
      </c>
      <c r="E157" s="3">
        <v>240</v>
      </c>
      <c r="F157" s="3">
        <v>233</v>
      </c>
      <c r="G157" s="3">
        <v>139</v>
      </c>
      <c r="H157" s="3">
        <v>153</v>
      </c>
      <c r="I157" s="3">
        <v>197</v>
      </c>
    </row>
    <row r="158" spans="1:9" x14ac:dyDescent="0.3">
      <c r="A158" s="2" t="s">
        <v>102</v>
      </c>
      <c r="B158" s="3">
        <v>69</v>
      </c>
      <c r="C158" s="3">
        <v>44</v>
      </c>
      <c r="D158" s="3">
        <v>51</v>
      </c>
      <c r="E158" s="3">
        <v>76</v>
      </c>
      <c r="F158" s="3">
        <v>49</v>
      </c>
      <c r="G158" s="3">
        <v>28</v>
      </c>
      <c r="H158" s="3">
        <v>94</v>
      </c>
      <c r="I158" s="3">
        <v>78</v>
      </c>
    </row>
    <row r="159" spans="1:9" x14ac:dyDescent="0.3">
      <c r="A159" s="2" t="s">
        <v>118</v>
      </c>
      <c r="B159" s="3">
        <v>52</v>
      </c>
      <c r="C159" s="3">
        <v>64</v>
      </c>
      <c r="D159" s="3">
        <v>59</v>
      </c>
      <c r="E159" s="3">
        <v>49</v>
      </c>
      <c r="F159" s="3">
        <v>47</v>
      </c>
      <c r="G159" s="3">
        <v>41</v>
      </c>
      <c r="H159" s="3">
        <v>54</v>
      </c>
      <c r="I159" s="3">
        <v>56</v>
      </c>
    </row>
    <row r="160" spans="1:9" x14ac:dyDescent="0.3">
      <c r="A160" s="2" t="s">
        <v>107</v>
      </c>
      <c r="B160" s="3">
        <v>225</v>
      </c>
      <c r="C160" s="3">
        <v>258</v>
      </c>
      <c r="D160" s="3">
        <v>278</v>
      </c>
      <c r="E160" s="3">
        <v>286</v>
      </c>
      <c r="F160" s="3">
        <v>278</v>
      </c>
      <c r="G160" s="3">
        <v>438</v>
      </c>
      <c r="H160" s="3">
        <v>278</v>
      </c>
      <c r="I160" s="3">
        <v>222</v>
      </c>
    </row>
    <row r="161" spans="1:9" x14ac:dyDescent="0.3">
      <c r="A161" s="4" t="s">
        <v>119</v>
      </c>
      <c r="B161" s="5">
        <f t="shared" ref="B161:I161" si="56">+SUM(B156:B160)</f>
        <v>790</v>
      </c>
      <c r="C161" s="5">
        <f t="shared" si="56"/>
        <v>840</v>
      </c>
      <c r="D161" s="5">
        <f t="shared" si="56"/>
        <v>784</v>
      </c>
      <c r="E161" s="5">
        <f t="shared" si="56"/>
        <v>847</v>
      </c>
      <c r="F161" s="5">
        <f t="shared" si="56"/>
        <v>724</v>
      </c>
      <c r="G161" s="5">
        <f t="shared" si="56"/>
        <v>756</v>
      </c>
      <c r="H161" s="5">
        <f t="shared" si="56"/>
        <v>677</v>
      </c>
      <c r="I161" s="5">
        <f t="shared" si="56"/>
        <v>699</v>
      </c>
    </row>
    <row r="162" spans="1:9" x14ac:dyDescent="0.3">
      <c r="A162" s="2" t="s">
        <v>104</v>
      </c>
      <c r="B162" s="3">
        <v>69</v>
      </c>
      <c r="C162" s="3">
        <v>39</v>
      </c>
      <c r="D162" s="3">
        <v>30</v>
      </c>
      <c r="E162" s="3">
        <v>22</v>
      </c>
      <c r="F162" s="3">
        <v>18</v>
      </c>
      <c r="G162" s="3">
        <v>12</v>
      </c>
      <c r="H162" s="3">
        <v>7</v>
      </c>
      <c r="I162" s="3">
        <v>9</v>
      </c>
    </row>
    <row r="163" spans="1:9" x14ac:dyDescent="0.3">
      <c r="A163" s="2" t="s">
        <v>108</v>
      </c>
      <c r="B163" s="3">
        <f t="shared" ref="B163:H163" si="57">-(SUM(B161:B162)+B81)</f>
        <v>104</v>
      </c>
      <c r="C163" s="3">
        <f t="shared" si="57"/>
        <v>264</v>
      </c>
      <c r="D163" s="3">
        <f t="shared" si="57"/>
        <v>291</v>
      </c>
      <c r="E163" s="3">
        <f t="shared" si="57"/>
        <v>159</v>
      </c>
      <c r="F163" s="3">
        <f t="shared" si="57"/>
        <v>377</v>
      </c>
      <c r="G163" s="3">
        <f t="shared" si="57"/>
        <v>318</v>
      </c>
      <c r="H163" s="3">
        <f t="shared" si="57"/>
        <v>11</v>
      </c>
      <c r="I163" s="3">
        <f>-(SUM(I161:I162)+I81)</f>
        <v>50</v>
      </c>
    </row>
    <row r="164" spans="1:9" ht="15" thickBot="1" x14ac:dyDescent="0.35">
      <c r="A164" s="6" t="s">
        <v>123</v>
      </c>
      <c r="B164" s="7">
        <f t="shared" ref="B164:H164" si="58">+SUM(B161:B163)</f>
        <v>963</v>
      </c>
      <c r="C164" s="7">
        <f t="shared" si="58"/>
        <v>1143</v>
      </c>
      <c r="D164" s="7">
        <f t="shared" si="58"/>
        <v>1105</v>
      </c>
      <c r="E164" s="7">
        <f t="shared" si="58"/>
        <v>1028</v>
      </c>
      <c r="F164" s="7">
        <f t="shared" si="58"/>
        <v>1119</v>
      </c>
      <c r="G164" s="7">
        <f t="shared" si="58"/>
        <v>1086</v>
      </c>
      <c r="H164" s="7">
        <f t="shared" si="58"/>
        <v>695</v>
      </c>
      <c r="I164" s="7">
        <f>+SUM(I161:I163)</f>
        <v>758</v>
      </c>
    </row>
    <row r="165" spans="1:9" ht="15" thickTop="1" x14ac:dyDescent="0.3">
      <c r="A165" s="12" t="s">
        <v>111</v>
      </c>
      <c r="B165" s="13">
        <f t="shared" ref="B165:H165" si="59">+B164+B81</f>
        <v>0</v>
      </c>
      <c r="C165" s="13">
        <f t="shared" si="59"/>
        <v>0</v>
      </c>
      <c r="D165" s="13">
        <f t="shared" si="59"/>
        <v>0</v>
      </c>
      <c r="E165" s="13">
        <f t="shared" si="59"/>
        <v>0</v>
      </c>
      <c r="F165" s="13">
        <f t="shared" si="59"/>
        <v>0</v>
      </c>
      <c r="G165" s="13">
        <f t="shared" si="59"/>
        <v>0</v>
      </c>
      <c r="H165" s="13">
        <f t="shared" si="59"/>
        <v>0</v>
      </c>
      <c r="I165" s="13">
        <f>+I164+I81</f>
        <v>0</v>
      </c>
    </row>
    <row r="166" spans="1:9" x14ac:dyDescent="0.3">
      <c r="A166" s="1" t="s">
        <v>124</v>
      </c>
    </row>
    <row r="167" spans="1:9" x14ac:dyDescent="0.3">
      <c r="A167" s="2" t="s">
        <v>100</v>
      </c>
      <c r="B167" s="3">
        <v>121</v>
      </c>
      <c r="C167" s="3">
        <v>133</v>
      </c>
      <c r="D167" s="3">
        <v>140</v>
      </c>
      <c r="E167" s="3">
        <v>160</v>
      </c>
      <c r="F167" s="3">
        <v>149</v>
      </c>
      <c r="G167" s="3">
        <v>148</v>
      </c>
      <c r="H167" s="3">
        <v>130</v>
      </c>
      <c r="I167" s="3">
        <v>124</v>
      </c>
    </row>
    <row r="168" spans="1:9" x14ac:dyDescent="0.3">
      <c r="A168" s="2" t="s">
        <v>101</v>
      </c>
      <c r="B168" s="3">
        <v>87</v>
      </c>
      <c r="C168" s="3">
        <v>84</v>
      </c>
      <c r="D168" s="3">
        <v>104</v>
      </c>
      <c r="E168" s="3">
        <v>116</v>
      </c>
      <c r="F168" s="3">
        <v>111</v>
      </c>
      <c r="G168" s="3">
        <v>132</v>
      </c>
      <c r="H168" s="3">
        <v>136</v>
      </c>
      <c r="I168" s="3">
        <v>134</v>
      </c>
    </row>
    <row r="169" spans="1:9" x14ac:dyDescent="0.3">
      <c r="A169" s="2" t="s">
        <v>102</v>
      </c>
      <c r="B169" s="3">
        <v>46</v>
      </c>
      <c r="C169" s="3">
        <v>48</v>
      </c>
      <c r="D169" s="3">
        <v>54</v>
      </c>
      <c r="E169" s="3">
        <v>56</v>
      </c>
      <c r="F169" s="3">
        <v>50</v>
      </c>
      <c r="G169" s="3">
        <v>44</v>
      </c>
      <c r="H169" s="3">
        <v>46</v>
      </c>
      <c r="I169" s="3">
        <v>41</v>
      </c>
    </row>
    <row r="170" spans="1:9" x14ac:dyDescent="0.3">
      <c r="A170" s="2" t="s">
        <v>106</v>
      </c>
      <c r="B170" s="3">
        <v>49</v>
      </c>
      <c r="C170" s="3">
        <v>43</v>
      </c>
      <c r="D170" s="3">
        <v>56</v>
      </c>
      <c r="E170" s="3">
        <v>55</v>
      </c>
      <c r="F170" s="3">
        <v>53</v>
      </c>
      <c r="G170" s="3">
        <v>46</v>
      </c>
      <c r="H170" s="3">
        <v>43</v>
      </c>
      <c r="I170" s="3">
        <v>42</v>
      </c>
    </row>
    <row r="171" spans="1:9" x14ac:dyDescent="0.3">
      <c r="A171" s="2" t="s">
        <v>107</v>
      </c>
      <c r="B171" s="3">
        <v>210</v>
      </c>
      <c r="C171" s="3">
        <v>230</v>
      </c>
      <c r="D171" s="3">
        <v>233</v>
      </c>
      <c r="E171" s="3">
        <v>217</v>
      </c>
      <c r="F171" s="3">
        <v>195</v>
      </c>
      <c r="G171" s="3">
        <v>214</v>
      </c>
      <c r="H171" s="3">
        <v>222</v>
      </c>
      <c r="I171" s="3">
        <v>220</v>
      </c>
    </row>
    <row r="172" spans="1:9" x14ac:dyDescent="0.3">
      <c r="A172" s="4" t="s">
        <v>119</v>
      </c>
      <c r="B172" s="5">
        <f t="shared" ref="B172:I172" si="60">+SUM(B167:B171)</f>
        <v>513</v>
      </c>
      <c r="C172" s="5">
        <f t="shared" si="60"/>
        <v>538</v>
      </c>
      <c r="D172" s="5">
        <f t="shared" si="60"/>
        <v>587</v>
      </c>
      <c r="E172" s="5">
        <f t="shared" si="60"/>
        <v>604</v>
      </c>
      <c r="F172" s="5">
        <f t="shared" si="60"/>
        <v>558</v>
      </c>
      <c r="G172" s="5">
        <f t="shared" si="60"/>
        <v>584</v>
      </c>
      <c r="H172" s="5">
        <f t="shared" si="60"/>
        <v>577</v>
      </c>
      <c r="I172" s="5">
        <f t="shared" si="60"/>
        <v>561</v>
      </c>
    </row>
    <row r="173" spans="1:9" x14ac:dyDescent="0.3">
      <c r="A173" s="2" t="s">
        <v>104</v>
      </c>
      <c r="B173" s="3">
        <v>18</v>
      </c>
      <c r="C173" s="3">
        <v>27</v>
      </c>
      <c r="D173" s="3">
        <v>28</v>
      </c>
      <c r="E173" s="3">
        <v>33</v>
      </c>
      <c r="F173" s="3">
        <v>31</v>
      </c>
      <c r="G173" s="3">
        <v>25</v>
      </c>
      <c r="H173" s="3">
        <v>26</v>
      </c>
      <c r="I173" s="3">
        <v>22</v>
      </c>
    </row>
    <row r="174" spans="1:9" x14ac:dyDescent="0.3">
      <c r="A174" s="2" t="s">
        <v>108</v>
      </c>
      <c r="B174" s="3">
        <v>75</v>
      </c>
      <c r="C174" s="3">
        <v>84</v>
      </c>
      <c r="D174" s="3">
        <v>91</v>
      </c>
      <c r="E174" s="3">
        <v>110</v>
      </c>
      <c r="F174" s="3">
        <v>116</v>
      </c>
      <c r="G174" s="3">
        <v>112</v>
      </c>
      <c r="H174" s="3">
        <v>141</v>
      </c>
      <c r="I174" s="3">
        <v>134</v>
      </c>
    </row>
    <row r="175" spans="1:9" ht="15" thickBot="1" x14ac:dyDescent="0.35">
      <c r="A175" s="6" t="s">
        <v>125</v>
      </c>
      <c r="B175" s="7">
        <f t="shared" ref="B175:H175" si="61">+SUM(B172:B174)</f>
        <v>606</v>
      </c>
      <c r="C175" s="7">
        <f t="shared" si="61"/>
        <v>649</v>
      </c>
      <c r="D175" s="7">
        <f t="shared" si="61"/>
        <v>706</v>
      </c>
      <c r="E175" s="7">
        <f t="shared" si="61"/>
        <v>747</v>
      </c>
      <c r="F175" s="7">
        <f t="shared" si="61"/>
        <v>705</v>
      </c>
      <c r="G175" s="7">
        <f t="shared" si="61"/>
        <v>721</v>
      </c>
      <c r="H175" s="7">
        <f t="shared" si="61"/>
        <v>744</v>
      </c>
      <c r="I175" s="7">
        <f>+SUM(I172:I174)</f>
        <v>717</v>
      </c>
    </row>
    <row r="176" spans="1:9" ht="15" thickTop="1" x14ac:dyDescent="0.3">
      <c r="A176" s="12" t="s">
        <v>111</v>
      </c>
      <c r="B176" s="13">
        <f t="shared" ref="B176:H176" si="62">+B175-B66</f>
        <v>0</v>
      </c>
      <c r="C176" s="13">
        <f t="shared" si="62"/>
        <v>0</v>
      </c>
      <c r="D176" s="13">
        <f t="shared" si="62"/>
        <v>0</v>
      </c>
      <c r="E176" s="13">
        <f t="shared" si="62"/>
        <v>0</v>
      </c>
      <c r="F176" s="13">
        <f t="shared" si="62"/>
        <v>0</v>
      </c>
      <c r="G176" s="13">
        <f t="shared" si="62"/>
        <v>0</v>
      </c>
      <c r="H176" s="13">
        <f t="shared" si="62"/>
        <v>0</v>
      </c>
      <c r="I176" s="13">
        <f>+I175-I66</f>
        <v>0</v>
      </c>
    </row>
    <row r="177" spans="1:9" x14ac:dyDescent="0.3">
      <c r="A177" s="14" t="s">
        <v>126</v>
      </c>
      <c r="B177" s="14"/>
      <c r="C177" s="14"/>
      <c r="D177" s="14"/>
      <c r="E177" s="14"/>
      <c r="F177" s="14"/>
      <c r="G177" s="14"/>
      <c r="H177" s="14"/>
      <c r="I177" s="14"/>
    </row>
    <row r="178" spans="1:9" x14ac:dyDescent="0.3">
      <c r="A178" s="29" t="s">
        <v>127</v>
      </c>
    </row>
    <row r="179" spans="1:9" x14ac:dyDescent="0.3">
      <c r="A179" s="34" t="s">
        <v>100</v>
      </c>
      <c r="B179" s="35" t="str">
        <f>IFERROR(B107/A107-1,"nm")</f>
        <v>nm</v>
      </c>
      <c r="C179" s="35">
        <f t="shared" ref="C179:I179" si="63">IFERROR(C107/B107-1,"nm")</f>
        <v>7.4526928675400228E-2</v>
      </c>
      <c r="D179" s="35">
        <f t="shared" si="63"/>
        <v>3.0615009482525046E-2</v>
      </c>
      <c r="E179" s="35">
        <f t="shared" si="63"/>
        <v>-2.372502628811779E-2</v>
      </c>
      <c r="F179" s="35">
        <f t="shared" si="63"/>
        <v>7.0481319421070276E-2</v>
      </c>
      <c r="G179" s="35">
        <f t="shared" si="63"/>
        <v>-8.9171173437303519E-2</v>
      </c>
      <c r="H179" s="35">
        <f t="shared" si="63"/>
        <v>0.18606738470035911</v>
      </c>
      <c r="I179" s="35">
        <f t="shared" si="63"/>
        <v>6.8339251411607238E-2</v>
      </c>
    </row>
    <row r="180" spans="1:9" x14ac:dyDescent="0.3">
      <c r="A180" s="32" t="s">
        <v>113</v>
      </c>
      <c r="B180" s="31" t="str">
        <f>IFERROR(B108/A108-1,"nm")</f>
        <v>nm</v>
      </c>
      <c r="C180" s="31">
        <f t="shared" ref="C180:I182" si="64">IFERROR(C108/B108-1,"nm")</f>
        <v>9.3228309428638578E-2</v>
      </c>
      <c r="D180" s="31">
        <f t="shared" si="64"/>
        <v>4.1402301322722934E-2</v>
      </c>
      <c r="E180" s="31">
        <f t="shared" si="64"/>
        <v>-3.7381247418422192E-2</v>
      </c>
      <c r="F180" s="31">
        <f t="shared" si="64"/>
        <v>7.755846384895948E-2</v>
      </c>
      <c r="G180" s="31">
        <f t="shared" si="64"/>
        <v>-7.1279243404678949E-2</v>
      </c>
      <c r="H180" s="31">
        <f t="shared" si="64"/>
        <v>0.24815092721620746</v>
      </c>
      <c r="I180" s="31">
        <f t="shared" si="64"/>
        <v>5.0154586052902683E-2</v>
      </c>
    </row>
    <row r="181" spans="1:9" x14ac:dyDescent="0.3">
      <c r="A181" s="32" t="s">
        <v>114</v>
      </c>
      <c r="B181" s="31" t="str">
        <f t="shared" ref="B181:B182" si="65">IFERROR(B109/A109-1,"nm")</f>
        <v>nm</v>
      </c>
      <c r="C181" s="31">
        <f t="shared" si="64"/>
        <v>7.6190476190476142E-2</v>
      </c>
      <c r="D181" s="31">
        <f t="shared" si="64"/>
        <v>2.9498525073746285E-2</v>
      </c>
      <c r="E181" s="31">
        <f t="shared" si="64"/>
        <v>1.0642652476463343E-2</v>
      </c>
      <c r="F181" s="31">
        <f t="shared" si="64"/>
        <v>6.5208586472256025E-2</v>
      </c>
      <c r="G181" s="31">
        <f t="shared" si="64"/>
        <v>-0.11806083650190113</v>
      </c>
      <c r="H181" s="31">
        <f t="shared" si="64"/>
        <v>8.3854278939426541E-2</v>
      </c>
      <c r="I181" s="31">
        <f t="shared" si="64"/>
        <v>9.2283214001591007E-2</v>
      </c>
    </row>
    <row r="182" spans="1:9" x14ac:dyDescent="0.3">
      <c r="A182" s="32" t="s">
        <v>115</v>
      </c>
      <c r="B182" s="31" t="str">
        <f t="shared" si="65"/>
        <v>nm</v>
      </c>
      <c r="C182" s="31">
        <f t="shared" si="64"/>
        <v>-0.12742718446601942</v>
      </c>
      <c r="D182" s="31">
        <f t="shared" si="64"/>
        <v>-0.10152990264255912</v>
      </c>
      <c r="E182" s="31">
        <f t="shared" si="64"/>
        <v>-7.8947368421052655E-2</v>
      </c>
      <c r="F182" s="31">
        <f t="shared" si="64"/>
        <v>3.3613445378151141E-3</v>
      </c>
      <c r="G182" s="31">
        <f t="shared" si="64"/>
        <v>-0.13567839195979903</v>
      </c>
      <c r="H182" s="31">
        <f t="shared" si="64"/>
        <v>-1.744186046511631E-2</v>
      </c>
      <c r="I182" s="31">
        <f t="shared" si="64"/>
        <v>0.24852071005917153</v>
      </c>
    </row>
    <row r="183" spans="1:9" x14ac:dyDescent="0.3">
      <c r="A183" s="34" t="s">
        <v>101</v>
      </c>
      <c r="B183" s="35" t="str">
        <f>IFERROR(B111/A111-1,"nm")</f>
        <v>nm</v>
      </c>
      <c r="C183" s="35">
        <f t="shared" ref="C183:I198" si="66">IFERROR(C111/B111-1,"nm")</f>
        <v>6.2026382262138746E-2</v>
      </c>
      <c r="D183" s="35">
        <f t="shared" si="66"/>
        <v>5.3118393234672379E-2</v>
      </c>
      <c r="E183" s="35">
        <f t="shared" si="66"/>
        <v>0.15959849435382689</v>
      </c>
      <c r="F183" s="35">
        <f t="shared" si="66"/>
        <v>6.1674962129409261E-2</v>
      </c>
      <c r="G183" s="35">
        <f t="shared" si="66"/>
        <v>-4.7390949857317621E-2</v>
      </c>
      <c r="H183" s="35">
        <f t="shared" si="66"/>
        <v>0.22563389322777372</v>
      </c>
      <c r="I183" s="35">
        <f t="shared" si="66"/>
        <v>8.9298184357541999E-2</v>
      </c>
    </row>
    <row r="184" spans="1:9" x14ac:dyDescent="0.3">
      <c r="A184" s="32" t="s">
        <v>113</v>
      </c>
      <c r="B184" s="31" t="str">
        <f t="shared" ref="B184:B203" si="67">IFERROR(B112/A112-1,"nm")</f>
        <v>nm</v>
      </c>
      <c r="C184" s="31">
        <f t="shared" si="66"/>
        <v>7.2294280246651077E-2</v>
      </c>
      <c r="D184" s="31">
        <f t="shared" si="66"/>
        <v>2.9545905215149659E-2</v>
      </c>
      <c r="E184" s="31">
        <f t="shared" si="66"/>
        <v>0.1315485362095532</v>
      </c>
      <c r="F184" s="31">
        <f t="shared" si="66"/>
        <v>7.1148936170212673E-2</v>
      </c>
      <c r="G184" s="31">
        <f t="shared" si="66"/>
        <v>-6.3721595423486432E-2</v>
      </c>
      <c r="H184" s="31">
        <f t="shared" si="66"/>
        <v>0.18295994568907004</v>
      </c>
      <c r="I184" s="31">
        <f t="shared" si="66"/>
        <v>5.9971305595408975E-2</v>
      </c>
    </row>
    <row r="185" spans="1:9" x14ac:dyDescent="0.3">
      <c r="A185" s="32" t="s">
        <v>114</v>
      </c>
      <c r="B185" s="31" t="str">
        <f t="shared" si="67"/>
        <v>nm</v>
      </c>
      <c r="C185" s="31">
        <f t="shared" si="66"/>
        <v>4.7781569965870352E-2</v>
      </c>
      <c r="D185" s="31">
        <f t="shared" si="66"/>
        <v>0.11447184737087013</v>
      </c>
      <c r="E185" s="31">
        <f t="shared" si="66"/>
        <v>0.22755741127348639</v>
      </c>
      <c r="F185" s="31">
        <f t="shared" si="66"/>
        <v>5.0000000000000044E-2</v>
      </c>
      <c r="G185" s="31">
        <f t="shared" si="66"/>
        <v>-1.1013929381276322E-2</v>
      </c>
      <c r="H185" s="31">
        <f t="shared" si="66"/>
        <v>0.30887651490337364</v>
      </c>
      <c r="I185" s="31">
        <f t="shared" si="66"/>
        <v>0.13288288288288297</v>
      </c>
    </row>
    <row r="186" spans="1:9" x14ac:dyDescent="0.3">
      <c r="A186" s="32" t="s">
        <v>115</v>
      </c>
      <c r="B186" s="31" t="str">
        <f t="shared" si="67"/>
        <v>nm</v>
      </c>
      <c r="C186" s="31">
        <f t="shared" si="66"/>
        <v>1.0752688172043001E-2</v>
      </c>
      <c r="D186" s="31">
        <f t="shared" si="66"/>
        <v>1.8617021276595702E-2</v>
      </c>
      <c r="E186" s="31">
        <f t="shared" si="66"/>
        <v>0.11488250652741505</v>
      </c>
      <c r="F186" s="31">
        <f t="shared" si="66"/>
        <v>1.1709601873536313E-2</v>
      </c>
      <c r="G186" s="31">
        <f t="shared" si="66"/>
        <v>-6.944444444444442E-2</v>
      </c>
      <c r="H186" s="31">
        <f t="shared" si="66"/>
        <v>0.21890547263681581</v>
      </c>
      <c r="I186" s="31">
        <f t="shared" si="66"/>
        <v>0.15102040816326534</v>
      </c>
    </row>
    <row r="187" spans="1:9" x14ac:dyDescent="0.3">
      <c r="A187" s="34" t="s">
        <v>102</v>
      </c>
      <c r="B187" s="35" t="str">
        <f t="shared" si="67"/>
        <v>nm</v>
      </c>
      <c r="C187" s="35">
        <f t="shared" si="66"/>
        <v>0.23410498858819695</v>
      </c>
      <c r="D187" s="35">
        <f t="shared" si="66"/>
        <v>0.11941875825627468</v>
      </c>
      <c r="E187" s="35">
        <f t="shared" si="66"/>
        <v>0.21170639603493036</v>
      </c>
      <c r="F187" s="35">
        <f t="shared" si="66"/>
        <v>0.20919361121932223</v>
      </c>
      <c r="G187" s="35">
        <f t="shared" si="66"/>
        <v>7.5869845360824639E-2</v>
      </c>
      <c r="H187" s="35">
        <f t="shared" si="66"/>
        <v>0.24120377301991325</v>
      </c>
      <c r="I187" s="35">
        <f t="shared" si="66"/>
        <v>-8.9626055488540413E-2</v>
      </c>
    </row>
    <row r="188" spans="1:9" x14ac:dyDescent="0.3">
      <c r="A188" s="32" t="s">
        <v>113</v>
      </c>
      <c r="B188" s="31" t="str">
        <f t="shared" si="67"/>
        <v>nm</v>
      </c>
      <c r="C188" s="31">
        <f t="shared" si="66"/>
        <v>0.28918650793650791</v>
      </c>
      <c r="D188" s="31">
        <f t="shared" si="66"/>
        <v>0.12350904193920731</v>
      </c>
      <c r="E188" s="31">
        <f t="shared" si="66"/>
        <v>0.19726027397260282</v>
      </c>
      <c r="F188" s="31">
        <f t="shared" si="66"/>
        <v>0.21910755148741412</v>
      </c>
      <c r="G188" s="31">
        <f t="shared" si="66"/>
        <v>8.7517597372125833E-2</v>
      </c>
      <c r="H188" s="31">
        <f t="shared" si="66"/>
        <v>0.24012944983818763</v>
      </c>
      <c r="I188" s="31">
        <f t="shared" si="66"/>
        <v>-5.7759220598469052E-2</v>
      </c>
    </row>
    <row r="189" spans="1:9" x14ac:dyDescent="0.3">
      <c r="A189" s="32" t="s">
        <v>114</v>
      </c>
      <c r="B189" s="31" t="str">
        <f t="shared" si="67"/>
        <v>nm</v>
      </c>
      <c r="C189" s="31">
        <f t="shared" si="66"/>
        <v>0.14054054054054044</v>
      </c>
      <c r="D189" s="31">
        <f t="shared" si="66"/>
        <v>0.12606635071090055</v>
      </c>
      <c r="E189" s="31">
        <f t="shared" si="66"/>
        <v>0.26936026936026947</v>
      </c>
      <c r="F189" s="31">
        <f t="shared" si="66"/>
        <v>0.19893899204244025</v>
      </c>
      <c r="G189" s="31">
        <f t="shared" si="66"/>
        <v>4.8672566371681381E-2</v>
      </c>
      <c r="H189" s="31">
        <f t="shared" si="66"/>
        <v>0.2378691983122363</v>
      </c>
      <c r="I189" s="31">
        <f t="shared" si="66"/>
        <v>-0.17426501917341286</v>
      </c>
    </row>
    <row r="190" spans="1:9" x14ac:dyDescent="0.3">
      <c r="A190" s="32" t="s">
        <v>115</v>
      </c>
      <c r="B190" s="31" t="str">
        <f t="shared" si="67"/>
        <v>nm</v>
      </c>
      <c r="C190" s="31">
        <f t="shared" si="66"/>
        <v>3.9682539682539764E-2</v>
      </c>
      <c r="D190" s="31">
        <f t="shared" si="66"/>
        <v>-1.5267175572519109E-2</v>
      </c>
      <c r="E190" s="31">
        <f t="shared" si="66"/>
        <v>7.7519379844961378E-3</v>
      </c>
      <c r="F190" s="31">
        <f t="shared" si="66"/>
        <v>6.1538461538461542E-2</v>
      </c>
      <c r="G190" s="31">
        <f t="shared" si="66"/>
        <v>7.2463768115942129E-2</v>
      </c>
      <c r="H190" s="31">
        <f t="shared" si="66"/>
        <v>0.31756756756756754</v>
      </c>
      <c r="I190" s="31">
        <f t="shared" si="66"/>
        <v>-1.025641025641022E-2</v>
      </c>
    </row>
    <row r="191" spans="1:9" x14ac:dyDescent="0.3">
      <c r="A191" s="34" t="s">
        <v>106</v>
      </c>
      <c r="B191" s="35" t="str">
        <f t="shared" si="67"/>
        <v>nm</v>
      </c>
      <c r="C191" s="35">
        <f t="shared" si="66"/>
        <v>-7.2211476466795599E-2</v>
      </c>
      <c r="D191" s="35">
        <f t="shared" si="66"/>
        <v>9.7289784572619942E-2</v>
      </c>
      <c r="E191" s="35">
        <f t="shared" si="66"/>
        <v>9.0563647878403986E-2</v>
      </c>
      <c r="F191" s="35">
        <f t="shared" si="66"/>
        <v>1.7034456058846237E-2</v>
      </c>
      <c r="G191" s="35">
        <f t="shared" si="66"/>
        <v>-4.3014845831747195E-2</v>
      </c>
      <c r="H191" s="35">
        <f t="shared" si="66"/>
        <v>6.2649164677804237E-2</v>
      </c>
      <c r="I191" s="35">
        <f t="shared" si="66"/>
        <v>0.11454239191465465</v>
      </c>
    </row>
    <row r="192" spans="1:9" x14ac:dyDescent="0.3">
      <c r="A192" s="32" t="s">
        <v>113</v>
      </c>
      <c r="B192" s="31" t="str">
        <f t="shared" si="67"/>
        <v>nm</v>
      </c>
      <c r="C192" s="31">
        <f t="shared" si="66"/>
        <v>-5.269964435822827E-2</v>
      </c>
      <c r="D192" s="31">
        <f t="shared" si="66"/>
        <v>0.12116040955631391</v>
      </c>
      <c r="E192" s="31">
        <f t="shared" si="66"/>
        <v>8.8280060882800715E-2</v>
      </c>
      <c r="F192" s="31">
        <f t="shared" si="66"/>
        <v>1.3146853146853044E-2</v>
      </c>
      <c r="G192" s="31">
        <f t="shared" si="66"/>
        <v>-4.7763666482606326E-2</v>
      </c>
      <c r="H192" s="31">
        <f t="shared" si="66"/>
        <v>6.0887213685126174E-2</v>
      </c>
      <c r="I192" s="31">
        <f t="shared" si="66"/>
        <v>0.12353101940420874</v>
      </c>
    </row>
    <row r="193" spans="1:9" x14ac:dyDescent="0.3">
      <c r="A193" s="32" t="s">
        <v>114</v>
      </c>
      <c r="B193" s="31" t="str">
        <f t="shared" si="67"/>
        <v>nm</v>
      </c>
      <c r="C193" s="31">
        <f t="shared" si="66"/>
        <v>-0.10711430855315751</v>
      </c>
      <c r="D193" s="31">
        <f t="shared" si="66"/>
        <v>6.0877350044762801E-2</v>
      </c>
      <c r="E193" s="31">
        <f t="shared" si="66"/>
        <v>0.13670886075949373</v>
      </c>
      <c r="F193" s="31">
        <f t="shared" si="66"/>
        <v>3.563474387527843E-2</v>
      </c>
      <c r="G193" s="31">
        <f t="shared" si="66"/>
        <v>-2.1505376344086002E-2</v>
      </c>
      <c r="H193" s="31">
        <f t="shared" si="66"/>
        <v>9.4505494505494614E-2</v>
      </c>
      <c r="I193" s="31">
        <f t="shared" si="66"/>
        <v>7.7643908969210251E-2</v>
      </c>
    </row>
    <row r="194" spans="1:9" x14ac:dyDescent="0.3">
      <c r="A194" s="32" t="s">
        <v>115</v>
      </c>
      <c r="B194" s="31" t="str">
        <f t="shared" si="67"/>
        <v>nm</v>
      </c>
      <c r="C194" s="31">
        <f t="shared" si="66"/>
        <v>-0.12621359223300976</v>
      </c>
      <c r="D194" s="31">
        <f t="shared" si="66"/>
        <v>-1.1111111111111072E-2</v>
      </c>
      <c r="E194" s="31">
        <f t="shared" si="66"/>
        <v>-8.6142322097378266E-2</v>
      </c>
      <c r="F194" s="31">
        <f t="shared" si="66"/>
        <v>-2.8688524590163911E-2</v>
      </c>
      <c r="G194" s="31">
        <f t="shared" si="66"/>
        <v>-9.7046413502109741E-2</v>
      </c>
      <c r="H194" s="31">
        <f t="shared" si="66"/>
        <v>-0.11214953271028039</v>
      </c>
      <c r="I194" s="31">
        <f t="shared" si="66"/>
        <v>0.23157894736842111</v>
      </c>
    </row>
    <row r="195" spans="1:9" x14ac:dyDescent="0.3">
      <c r="A195" s="34" t="s">
        <v>107</v>
      </c>
      <c r="B195" s="66" t="str">
        <f t="shared" si="67"/>
        <v>nm</v>
      </c>
      <c r="C195" s="66">
        <f t="shared" si="66"/>
        <v>-0.36521739130434783</v>
      </c>
      <c r="D195" s="66">
        <f t="shared" si="66"/>
        <v>0</v>
      </c>
      <c r="E195" s="66">
        <f t="shared" si="66"/>
        <v>0.20547945205479445</v>
      </c>
      <c r="F195" s="66">
        <f t="shared" si="66"/>
        <v>-0.52272727272727271</v>
      </c>
      <c r="G195" s="66">
        <f t="shared" si="66"/>
        <v>-0.2857142857142857</v>
      </c>
      <c r="H195" s="66">
        <f t="shared" si="66"/>
        <v>-0.16666666666666663</v>
      </c>
      <c r="I195" s="66">
        <f t="shared" si="66"/>
        <v>3.08</v>
      </c>
    </row>
    <row r="196" spans="1:9" x14ac:dyDescent="0.3">
      <c r="A196" s="36" t="s">
        <v>103</v>
      </c>
      <c r="B196" s="66" t="str">
        <f t="shared" si="67"/>
        <v>nm</v>
      </c>
      <c r="C196" s="66">
        <f t="shared" si="66"/>
        <v>6.2924636772237807E-2</v>
      </c>
      <c r="D196" s="66">
        <f t="shared" si="66"/>
        <v>5.6577179008096445E-2</v>
      </c>
      <c r="E196" s="66">
        <f t="shared" si="66"/>
        <v>6.9866286104303121E-2</v>
      </c>
      <c r="F196" s="66">
        <f t="shared" si="66"/>
        <v>7.9251848629839028E-2</v>
      </c>
      <c r="G196" s="66">
        <f t="shared" si="66"/>
        <v>-4.4333387070772168E-2</v>
      </c>
      <c r="H196" s="66">
        <f t="shared" si="66"/>
        <v>0.18907444894286995</v>
      </c>
      <c r="I196" s="66">
        <f t="shared" si="66"/>
        <v>5.0670323694228303E-2</v>
      </c>
    </row>
    <row r="197" spans="1:9" x14ac:dyDescent="0.3">
      <c r="A197" s="34" t="s">
        <v>104</v>
      </c>
      <c r="B197" s="66" t="str">
        <f t="shared" si="67"/>
        <v>nm</v>
      </c>
      <c r="C197" s="66">
        <f t="shared" si="66"/>
        <v>-1.3622603430877955E-2</v>
      </c>
      <c r="D197" s="66">
        <f t="shared" si="66"/>
        <v>4.4501278772378416E-2</v>
      </c>
      <c r="E197" s="66">
        <f t="shared" si="66"/>
        <v>-7.6395690499510338E-2</v>
      </c>
      <c r="F197" s="66">
        <f t="shared" si="66"/>
        <v>1.0604453870625585E-2</v>
      </c>
      <c r="G197" s="66">
        <f t="shared" si="66"/>
        <v>-3.147953830010497E-2</v>
      </c>
      <c r="H197" s="66">
        <f t="shared" si="66"/>
        <v>0.19447453954496208</v>
      </c>
      <c r="I197" s="66">
        <f t="shared" si="66"/>
        <v>6.3945578231292544E-2</v>
      </c>
    </row>
    <row r="198" spans="1:9" x14ac:dyDescent="0.3">
      <c r="A198" s="32" t="s">
        <v>113</v>
      </c>
      <c r="B198" s="67" t="str">
        <f t="shared" si="67"/>
        <v>nm</v>
      </c>
      <c r="C198" s="67" t="str">
        <f t="shared" si="66"/>
        <v>nm</v>
      </c>
      <c r="D198" s="67" t="str">
        <f t="shared" si="66"/>
        <v>nm</v>
      </c>
      <c r="E198" s="67" t="str">
        <f t="shared" si="66"/>
        <v>nm</v>
      </c>
      <c r="F198" s="67">
        <f t="shared" si="66"/>
        <v>2.9174425822470429E-2</v>
      </c>
      <c r="G198" s="67">
        <f t="shared" si="66"/>
        <v>-9.6501809408926498E-3</v>
      </c>
      <c r="H198" s="67">
        <f t="shared" si="66"/>
        <v>0.2095006090133984</v>
      </c>
      <c r="I198" s="67">
        <f t="shared" si="66"/>
        <v>5.4380664652567967E-2</v>
      </c>
    </row>
    <row r="199" spans="1:9" x14ac:dyDescent="0.3">
      <c r="A199" s="32" t="s">
        <v>114</v>
      </c>
      <c r="B199" s="67" t="str">
        <f t="shared" si="67"/>
        <v>nm</v>
      </c>
      <c r="C199" s="67" t="str">
        <f t="shared" ref="C199:C203" si="68">IFERROR(C127/B127-1,"nm")</f>
        <v>nm</v>
      </c>
      <c r="D199" s="67" t="str">
        <f t="shared" ref="D199:D203" si="69">IFERROR(D127/C127-1,"nm")</f>
        <v>nm</v>
      </c>
      <c r="E199" s="67" t="str">
        <f t="shared" ref="E199:E203" si="70">IFERROR(E127/D127-1,"nm")</f>
        <v>nm</v>
      </c>
      <c r="F199" s="67">
        <f t="shared" ref="F199:F203" si="71">IFERROR(F127/E127-1,"nm")</f>
        <v>-0.18055555555555558</v>
      </c>
      <c r="G199" s="67">
        <f t="shared" ref="G199:G203" si="72">IFERROR(G127/F127-1,"nm")</f>
        <v>-0.24576271186440679</v>
      </c>
      <c r="H199" s="67">
        <f t="shared" ref="H199:H203" si="73">IFERROR(H127/G127-1,"nm")</f>
        <v>0.1685393258426966</v>
      </c>
      <c r="I199" s="67">
        <f t="shared" ref="I199:I203" si="74">IFERROR(I127/H127-1,"nm")</f>
        <v>-9.6153846153845812E-3</v>
      </c>
    </row>
    <row r="200" spans="1:9" x14ac:dyDescent="0.3">
      <c r="A200" s="32" t="s">
        <v>115</v>
      </c>
      <c r="B200" s="67" t="str">
        <f t="shared" si="67"/>
        <v>nm</v>
      </c>
      <c r="C200" s="67" t="str">
        <f t="shared" si="68"/>
        <v>nm</v>
      </c>
      <c r="D200" s="67" t="str">
        <f t="shared" si="69"/>
        <v>nm</v>
      </c>
      <c r="E200" s="67" t="str">
        <f t="shared" si="70"/>
        <v>nm</v>
      </c>
      <c r="F200" s="67">
        <f t="shared" si="71"/>
        <v>-0.1428571428571429</v>
      </c>
      <c r="G200" s="67">
        <f t="shared" si="72"/>
        <v>4.1666666666666741E-2</v>
      </c>
      <c r="H200" s="67">
        <f t="shared" si="73"/>
        <v>0.15999999999999992</v>
      </c>
      <c r="I200" s="67">
        <f t="shared" si="74"/>
        <v>-0.10344827586206895</v>
      </c>
    </row>
    <row r="201" spans="1:9" x14ac:dyDescent="0.3">
      <c r="A201" s="32" t="s">
        <v>121</v>
      </c>
      <c r="B201" s="67" t="str">
        <f t="shared" si="67"/>
        <v>nm</v>
      </c>
      <c r="C201" s="67">
        <f t="shared" si="68"/>
        <v>-1.3622603430877955E-2</v>
      </c>
      <c r="D201" s="67">
        <f t="shared" si="69"/>
        <v>4.4501278772378416E-2</v>
      </c>
      <c r="E201" s="67">
        <f t="shared" si="70"/>
        <v>-0.9495592556317336</v>
      </c>
      <c r="F201" s="67">
        <f t="shared" si="71"/>
        <v>2.9126213592232997E-2</v>
      </c>
      <c r="G201" s="67">
        <f t="shared" si="72"/>
        <v>-0.15094339622641506</v>
      </c>
      <c r="H201" s="67">
        <f t="shared" si="73"/>
        <v>-4.4444444444444398E-2</v>
      </c>
      <c r="I201" s="67">
        <f t="shared" si="74"/>
        <v>0.43023255813953498</v>
      </c>
    </row>
    <row r="202" spans="1:9" x14ac:dyDescent="0.3">
      <c r="A202" s="30" t="s">
        <v>108</v>
      </c>
      <c r="B202" s="66" t="str">
        <f t="shared" si="67"/>
        <v>nm</v>
      </c>
      <c r="C202" s="66">
        <f t="shared" si="68"/>
        <v>4.8780487804878092E-2</v>
      </c>
      <c r="D202" s="66">
        <f t="shared" si="69"/>
        <v>-1.8720930232558139</v>
      </c>
      <c r="E202" s="66">
        <f t="shared" si="70"/>
        <v>-0.65333333333333332</v>
      </c>
      <c r="F202" s="66">
        <f t="shared" si="71"/>
        <v>-1.2692307692307692</v>
      </c>
      <c r="G202" s="66">
        <f t="shared" si="72"/>
        <v>0.5714285714285714</v>
      </c>
      <c r="H202" s="66">
        <f t="shared" si="73"/>
        <v>-4.6363636363636367</v>
      </c>
      <c r="I202" s="66">
        <f t="shared" si="74"/>
        <v>-2.8</v>
      </c>
    </row>
    <row r="203" spans="1:9" ht="15" thickBot="1" x14ac:dyDescent="0.35">
      <c r="A203" s="33" t="s">
        <v>105</v>
      </c>
      <c r="B203" s="37" t="str">
        <f t="shared" si="67"/>
        <v>nm</v>
      </c>
      <c r="C203" s="37">
        <f t="shared" si="68"/>
        <v>5.8004640371229765E-2</v>
      </c>
      <c r="D203" s="37">
        <f t="shared" si="69"/>
        <v>6.0971089696071123E-2</v>
      </c>
      <c r="E203" s="37">
        <f t="shared" si="70"/>
        <v>5.95924308588065E-2</v>
      </c>
      <c r="F203" s="37">
        <f t="shared" si="71"/>
        <v>7.4731433909388079E-2</v>
      </c>
      <c r="G203" s="37">
        <f t="shared" si="72"/>
        <v>-4.3817266150267153E-2</v>
      </c>
      <c r="H203" s="37">
        <f t="shared" si="73"/>
        <v>0.19076009945726269</v>
      </c>
      <c r="I203" s="37">
        <f t="shared" si="74"/>
        <v>4.8767344739323759E-2</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16"/>
  <sheetViews>
    <sheetView topLeftCell="A205" workbookViewId="0">
      <selection activeCell="J14" sqref="J14"/>
    </sheetView>
  </sheetViews>
  <sheetFormatPr defaultRowHeight="14.4" x14ac:dyDescent="0.3"/>
  <cols>
    <col min="1" max="1" width="48.77734375" customWidth="1"/>
    <col min="2" max="14" width="11.77734375" customWidth="1"/>
  </cols>
  <sheetData>
    <row r="1" spans="1: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19" x14ac:dyDescent="0.3">
      <c r="A2" s="39" t="s">
        <v>128</v>
      </c>
      <c r="B2" s="39"/>
      <c r="C2" s="39"/>
      <c r="D2" s="39"/>
      <c r="E2" s="39"/>
      <c r="F2" s="39"/>
      <c r="G2" s="39"/>
      <c r="H2" s="39"/>
      <c r="I2" s="39"/>
      <c r="J2" s="38"/>
      <c r="K2" s="38"/>
      <c r="L2" s="38"/>
      <c r="M2" s="38"/>
      <c r="N2" s="38"/>
    </row>
    <row r="3" spans="1:19" x14ac:dyDescent="0.3">
      <c r="A3" s="40" t="s">
        <v>139</v>
      </c>
      <c r="B3" s="3">
        <f>+B21+B52+B83+B114+B145+B180+B199</f>
        <v>30601</v>
      </c>
      <c r="C3" s="3">
        <f t="shared" ref="C3:N3" si="2">+C21+C52+C83+C114+C145+C180+C199</f>
        <v>32376</v>
      </c>
      <c r="D3" s="3">
        <f t="shared" si="2"/>
        <v>34350</v>
      </c>
      <c r="E3" s="3">
        <f t="shared" si="2"/>
        <v>36397</v>
      </c>
      <c r="F3" s="3">
        <f t="shared" si="2"/>
        <v>39117</v>
      </c>
      <c r="G3" s="3">
        <f t="shared" si="2"/>
        <v>37403</v>
      </c>
      <c r="H3" s="3">
        <f t="shared" si="2"/>
        <v>44538</v>
      </c>
      <c r="I3" s="3">
        <f t="shared" si="2"/>
        <v>46710</v>
      </c>
      <c r="J3" s="3">
        <f>+J21+J52+J83+J114+J145+J180+J199</f>
        <v>49369.98245721517</v>
      </c>
      <c r="K3" s="3">
        <f t="shared" si="2"/>
        <v>52335.466335383622</v>
      </c>
      <c r="L3" s="3">
        <f t="shared" si="2"/>
        <v>55818.70616956133</v>
      </c>
      <c r="M3" s="3">
        <f t="shared" si="2"/>
        <v>59824.202006413674</v>
      </c>
      <c r="N3" s="3">
        <f t="shared" si="2"/>
        <v>64418.799527920499</v>
      </c>
      <c r="O3" t="s">
        <v>142</v>
      </c>
    </row>
    <row r="4" spans="1:19" x14ac:dyDescent="0.3">
      <c r="A4" s="41" t="s">
        <v>129</v>
      </c>
      <c r="B4" s="46" t="str">
        <f t="shared" ref="B4:H4" si="3">+IFERROR(B3/A3-1,"nm")</f>
        <v>nm</v>
      </c>
      <c r="C4" s="46">
        <f t="shared" si="3"/>
        <v>5.8004640371229765E-2</v>
      </c>
      <c r="D4" s="46">
        <f t="shared" si="3"/>
        <v>6.0971089696071123E-2</v>
      </c>
      <c r="E4" s="46">
        <f t="shared" si="3"/>
        <v>5.95924308588065E-2</v>
      </c>
      <c r="F4" s="46">
        <f t="shared" si="3"/>
        <v>7.4731433909388079E-2</v>
      </c>
      <c r="G4" s="46">
        <f t="shared" si="3"/>
        <v>-4.3817266150267153E-2</v>
      </c>
      <c r="H4" s="46">
        <f t="shared" si="3"/>
        <v>0.19076009945726269</v>
      </c>
      <c r="I4" s="46">
        <f>+IFERROR(I3/H3-1,"nm")</f>
        <v>4.8767344739323759E-2</v>
      </c>
      <c r="J4" s="46">
        <f t="shared" ref="J4:N4" si="4">+IFERROR(J3/I3-1,"nm")</f>
        <v>5.6946744962859563E-2</v>
      </c>
      <c r="K4" s="46">
        <f t="shared" si="4"/>
        <v>6.0066537004310083E-2</v>
      </c>
      <c r="L4" s="46">
        <f t="shared" si="4"/>
        <v>6.6556010256140885E-2</v>
      </c>
      <c r="M4" s="46">
        <f t="shared" si="4"/>
        <v>7.1759023304567293E-2</v>
      </c>
      <c r="N4" s="46">
        <f t="shared" si="4"/>
        <v>7.6801651629456735E-2</v>
      </c>
      <c r="S4" s="74"/>
    </row>
    <row r="5" spans="1:19" x14ac:dyDescent="0.3">
      <c r="A5" s="40" t="s">
        <v>130</v>
      </c>
      <c r="B5" s="73">
        <f>+B35+B66+B97+B128+B163+B182+B201</f>
        <v>4839</v>
      </c>
      <c r="C5" s="73">
        <f t="shared" ref="C5:I5" si="5">+C35+C66+C97+C128+C163+C182+C201</f>
        <v>5291</v>
      </c>
      <c r="D5" s="73">
        <f t="shared" si="5"/>
        <v>5651</v>
      </c>
      <c r="E5" s="73">
        <f t="shared" si="5"/>
        <v>5126</v>
      </c>
      <c r="F5" s="73">
        <f t="shared" si="5"/>
        <v>5555</v>
      </c>
      <c r="G5" s="73">
        <f t="shared" si="5"/>
        <v>3697</v>
      </c>
      <c r="H5" s="73">
        <f t="shared" si="5"/>
        <v>7667</v>
      </c>
      <c r="I5" s="73">
        <f t="shared" si="5"/>
        <v>7573</v>
      </c>
      <c r="J5" s="73">
        <f t="shared" ref="J5:N5" si="6">+J35+J66+J97+J128+J163+J189+J201</f>
        <v>12790.987944713397</v>
      </c>
      <c r="K5" s="73">
        <f t="shared" si="6"/>
        <v>12757.81288263557</v>
      </c>
      <c r="L5" s="73">
        <f t="shared" si="6"/>
        <v>14072.135802231352</v>
      </c>
      <c r="M5" s="73">
        <f t="shared" si="6"/>
        <v>15425.998732722224</v>
      </c>
      <c r="N5" s="73">
        <f t="shared" si="6"/>
        <v>16867.47391710478</v>
      </c>
      <c r="O5" t="s">
        <v>143</v>
      </c>
    </row>
    <row r="6" spans="1:19" x14ac:dyDescent="0.3">
      <c r="A6" s="41" t="s">
        <v>129</v>
      </c>
      <c r="B6" s="46" t="str">
        <f t="shared" ref="B6:H6" si="7">+IFERROR(B5/A5-1,"nm")</f>
        <v>nm</v>
      </c>
      <c r="C6" s="46">
        <f t="shared" si="7"/>
        <v>9.3407728869601137E-2</v>
      </c>
      <c r="D6" s="46">
        <f t="shared" si="7"/>
        <v>6.8040068040068125E-2</v>
      </c>
      <c r="E6" s="46">
        <f t="shared" si="7"/>
        <v>-9.2903910812245583E-2</v>
      </c>
      <c r="F6" s="46">
        <f t="shared" si="7"/>
        <v>8.3690987124463545E-2</v>
      </c>
      <c r="G6" s="46">
        <f t="shared" si="7"/>
        <v>-0.3344734473447345</v>
      </c>
      <c r="H6" s="46">
        <f t="shared" si="7"/>
        <v>1.0738436570192049</v>
      </c>
      <c r="I6" s="46">
        <f>+IFERROR(I5/H5-1,"nm")</f>
        <v>-1.2260336507108338E-2</v>
      </c>
      <c r="J6" s="46">
        <f t="shared" ref="J6:N6" si="8">+IFERROR(J5/I5-1,"nm")</f>
        <v>0.6890252138800208</v>
      </c>
      <c r="K6" s="46">
        <f t="shared" si="8"/>
        <v>-2.593627812114363E-3</v>
      </c>
      <c r="L6" s="46">
        <f t="shared" si="8"/>
        <v>0.10302102183867934</v>
      </c>
      <c r="M6" s="46">
        <f t="shared" si="8"/>
        <v>9.6208773815002369E-2</v>
      </c>
      <c r="N6" s="46">
        <f t="shared" si="8"/>
        <v>9.3444528899438106E-2</v>
      </c>
    </row>
    <row r="7" spans="1:19" x14ac:dyDescent="0.3">
      <c r="A7" s="41" t="s">
        <v>131</v>
      </c>
      <c r="B7" s="46">
        <f>+IFERROR(B5/B$3,"nm")</f>
        <v>0.15813208718669325</v>
      </c>
      <c r="C7" s="46">
        <f t="shared" ref="C7:I7" si="9">+IFERROR(C5/C$3,"nm")</f>
        <v>0.16342352359772672</v>
      </c>
      <c r="D7" s="46">
        <f t="shared" si="9"/>
        <v>0.16451237263464338</v>
      </c>
      <c r="E7" s="46">
        <f t="shared" si="9"/>
        <v>0.14083578316894249</v>
      </c>
      <c r="F7" s="46">
        <f t="shared" si="9"/>
        <v>0.14200986783240024</v>
      </c>
      <c r="G7" s="46">
        <f t="shared" si="9"/>
        <v>9.8842338849824879E-2</v>
      </c>
      <c r="H7" s="46">
        <f t="shared" si="9"/>
        <v>0.17214513449189456</v>
      </c>
      <c r="I7" s="46">
        <f t="shared" si="9"/>
        <v>0.16212802397773496</v>
      </c>
      <c r="J7" s="46">
        <f t="shared" ref="J7:N7" si="10">+IFERROR(J5/J$3,"nm")</f>
        <v>0.25908431212829119</v>
      </c>
      <c r="K7" s="46">
        <f t="shared" si="10"/>
        <v>0.24376992842442882</v>
      </c>
      <c r="L7" s="46">
        <f t="shared" si="10"/>
        <v>0.25210429921976718</v>
      </c>
      <c r="M7" s="46">
        <f t="shared" si="10"/>
        <v>0.25785548683237636</v>
      </c>
      <c r="N7" s="46">
        <f t="shared" si="10"/>
        <v>0.26184086075360741</v>
      </c>
    </row>
    <row r="8" spans="1:19" x14ac:dyDescent="0.3">
      <c r="A8" s="40" t="s">
        <v>132</v>
      </c>
      <c r="B8" s="73">
        <f>+B38+B69+B100+B131+B166+B185+B204</f>
        <v>606</v>
      </c>
      <c r="C8" s="73">
        <f t="shared" ref="C8:N8" si="11">+C38+C69+C100+C131+C166+C185+C204</f>
        <v>649</v>
      </c>
      <c r="D8" s="73">
        <f t="shared" si="11"/>
        <v>706</v>
      </c>
      <c r="E8" s="73">
        <f t="shared" si="11"/>
        <v>747</v>
      </c>
      <c r="F8" s="73">
        <f t="shared" si="11"/>
        <v>705</v>
      </c>
      <c r="G8" s="73">
        <f t="shared" si="11"/>
        <v>721</v>
      </c>
      <c r="H8" s="73">
        <f t="shared" si="11"/>
        <v>744</v>
      </c>
      <c r="I8" s="73">
        <f t="shared" si="11"/>
        <v>717</v>
      </c>
      <c r="J8" s="73">
        <f t="shared" si="11"/>
        <v>461.74288201498041</v>
      </c>
      <c r="K8" s="73">
        <f t="shared" si="11"/>
        <v>554.12502018109319</v>
      </c>
      <c r="L8" s="73">
        <f t="shared" si="11"/>
        <v>570.60500210708722</v>
      </c>
      <c r="M8" s="73">
        <f t="shared" si="11"/>
        <v>597.16729172426903</v>
      </c>
      <c r="N8" s="73">
        <f t="shared" si="11"/>
        <v>632.93864741255481</v>
      </c>
      <c r="O8" t="s">
        <v>144</v>
      </c>
    </row>
    <row r="9" spans="1:19" x14ac:dyDescent="0.3">
      <c r="A9" s="41" t="s">
        <v>129</v>
      </c>
      <c r="B9" s="46" t="str">
        <f t="shared" ref="B9:H9" si="12">+IFERROR(B8/A8-1,"nm")</f>
        <v>nm</v>
      </c>
      <c r="C9" s="46">
        <f t="shared" si="12"/>
        <v>7.0957095709570872E-2</v>
      </c>
      <c r="D9" s="46">
        <f t="shared" si="12"/>
        <v>8.7827426810477727E-2</v>
      </c>
      <c r="E9" s="46">
        <f t="shared" si="12"/>
        <v>5.8073654390934815E-2</v>
      </c>
      <c r="F9" s="46">
        <f t="shared" si="12"/>
        <v>-5.6224899598393607E-2</v>
      </c>
      <c r="G9" s="46">
        <f t="shared" si="12"/>
        <v>2.2695035460992941E-2</v>
      </c>
      <c r="H9" s="46">
        <f t="shared" si="12"/>
        <v>3.1900138696255187E-2</v>
      </c>
      <c r="I9" s="46">
        <f>+IFERROR(I8/H8-1,"nm")</f>
        <v>-3.6290322580645129E-2</v>
      </c>
      <c r="J9" s="46">
        <f t="shared" ref="J9:N9" si="13">+IFERROR(J8/I8-1,"nm")</f>
        <v>-0.35600713805442064</v>
      </c>
      <c r="K9" s="46">
        <f t="shared" si="13"/>
        <v>0.20007268496044861</v>
      </c>
      <c r="L9" s="46">
        <f t="shared" si="13"/>
        <v>2.9740548298303082E-2</v>
      </c>
      <c r="M9" s="46">
        <f t="shared" si="13"/>
        <v>4.6551098429026272E-2</v>
      </c>
      <c r="N9" s="46">
        <f t="shared" si="13"/>
        <v>5.9901733038658422E-2</v>
      </c>
    </row>
    <row r="10" spans="1:19" x14ac:dyDescent="0.3">
      <c r="A10" s="41" t="s">
        <v>133</v>
      </c>
      <c r="B10" s="46">
        <f>+IFERROR(B8/B$3,"nm")</f>
        <v>1.9803274402797295E-2</v>
      </c>
      <c r="C10" s="46">
        <f t="shared" ref="C10:I10" si="14">+IFERROR(C8/C$3,"nm")</f>
        <v>2.0045712873733631E-2</v>
      </c>
      <c r="D10" s="46">
        <f t="shared" si="14"/>
        <v>2.0553129548762736E-2</v>
      </c>
      <c r="E10" s="46">
        <f t="shared" si="14"/>
        <v>2.0523669533203285E-2</v>
      </c>
      <c r="F10" s="46">
        <f t="shared" si="14"/>
        <v>1.8022854513382928E-2</v>
      </c>
      <c r="G10" s="46">
        <f t="shared" si="14"/>
        <v>1.9276528620698875E-2</v>
      </c>
      <c r="H10" s="46">
        <f t="shared" si="14"/>
        <v>1.6704836319547355E-2</v>
      </c>
      <c r="I10" s="46">
        <f t="shared" si="14"/>
        <v>1.5350032113037893E-2</v>
      </c>
      <c r="J10" s="46">
        <f t="shared" ref="J10:N10" si="15">+IFERROR(J8/J$3,"nm")</f>
        <v>9.3527050048100441E-3</v>
      </c>
      <c r="K10" s="46">
        <f t="shared" si="15"/>
        <v>1.0587944638346584E-2</v>
      </c>
      <c r="L10" s="46">
        <f t="shared" si="15"/>
        <v>1.022246915529987E-2</v>
      </c>
      <c r="M10" s="46">
        <f t="shared" si="15"/>
        <v>9.9820352248116487E-3</v>
      </c>
      <c r="N10" s="46">
        <f t="shared" si="15"/>
        <v>9.8253716624791421E-3</v>
      </c>
    </row>
    <row r="11" spans="1:19" x14ac:dyDescent="0.3">
      <c r="A11" s="40" t="s">
        <v>134</v>
      </c>
      <c r="B11" s="73">
        <f>B5-B8</f>
        <v>4233</v>
      </c>
      <c r="C11" s="73">
        <f t="shared" ref="C11:N11" si="16">C5-C8</f>
        <v>4642</v>
      </c>
      <c r="D11" s="73">
        <f t="shared" si="16"/>
        <v>4945</v>
      </c>
      <c r="E11" s="73">
        <f t="shared" si="16"/>
        <v>4379</v>
      </c>
      <c r="F11" s="73">
        <f t="shared" si="16"/>
        <v>4850</v>
      </c>
      <c r="G11" s="73">
        <f t="shared" si="16"/>
        <v>2976</v>
      </c>
      <c r="H11" s="73">
        <f>H5-H8</f>
        <v>6923</v>
      </c>
      <c r="I11" s="73">
        <f t="shared" si="16"/>
        <v>6856</v>
      </c>
      <c r="J11" s="73">
        <f t="shared" si="16"/>
        <v>12329.245062698417</v>
      </c>
      <c r="K11" s="73">
        <f t="shared" si="16"/>
        <v>12203.687862454477</v>
      </c>
      <c r="L11" s="73">
        <f t="shared" si="16"/>
        <v>13501.530800124265</v>
      </c>
      <c r="M11" s="73">
        <f t="shared" si="16"/>
        <v>14828.831440997956</v>
      </c>
      <c r="N11" s="73">
        <f t="shared" si="16"/>
        <v>16234.535269692225</v>
      </c>
      <c r="O11" t="s">
        <v>145</v>
      </c>
    </row>
    <row r="12" spans="1:19" x14ac:dyDescent="0.3">
      <c r="A12" s="41" t="s">
        <v>129</v>
      </c>
      <c r="B12" s="46" t="str">
        <f t="shared" ref="B12:H12" si="17">+IFERROR(B11/A11-1,"nm")</f>
        <v>nm</v>
      </c>
      <c r="C12" s="46">
        <f t="shared" si="17"/>
        <v>9.6621781242617555E-2</v>
      </c>
      <c r="D12" s="46">
        <f t="shared" si="17"/>
        <v>6.5273588970271357E-2</v>
      </c>
      <c r="E12" s="46">
        <f t="shared" si="17"/>
        <v>-0.11445904954499497</v>
      </c>
      <c r="F12" s="46">
        <f t="shared" si="17"/>
        <v>0.10755880337976698</v>
      </c>
      <c r="G12" s="46">
        <f t="shared" si="17"/>
        <v>-0.38639175257731961</v>
      </c>
      <c r="H12" s="46">
        <f t="shared" si="17"/>
        <v>1.32627688172043</v>
      </c>
      <c r="I12" s="46">
        <f>+IFERROR(I11/H11-1,"nm")</f>
        <v>-9.67788530983682E-3</v>
      </c>
      <c r="J12" s="46">
        <f t="shared" ref="J12:N12" si="18">+IFERROR(J11/I11-1,"nm")</f>
        <v>0.79831462408086606</v>
      </c>
      <c r="K12" s="46">
        <f t="shared" si="18"/>
        <v>-1.0183689236886728E-2</v>
      </c>
      <c r="L12" s="46">
        <f t="shared" si="18"/>
        <v>0.10634842125573329</v>
      </c>
      <c r="M12" s="46">
        <f t="shared" si="18"/>
        <v>9.8307418656666368E-2</v>
      </c>
      <c r="N12" s="46">
        <f t="shared" si="18"/>
        <v>9.479532047332162E-2</v>
      </c>
    </row>
    <row r="13" spans="1:19" x14ac:dyDescent="0.3">
      <c r="A13" s="41" t="s">
        <v>131</v>
      </c>
      <c r="B13" s="46">
        <f>+IFERROR(B11/B$3,"nm")</f>
        <v>0.13832881278389594</v>
      </c>
      <c r="C13" s="46">
        <f t="shared" ref="C13:N13" si="19">+IFERROR(C11/C$3,"nm")</f>
        <v>0.14337781072399308</v>
      </c>
      <c r="D13" s="46">
        <f t="shared" si="19"/>
        <v>0.14395924308588065</v>
      </c>
      <c r="E13" s="46">
        <f t="shared" si="19"/>
        <v>0.12031211363573921</v>
      </c>
      <c r="F13" s="46">
        <f t="shared" si="19"/>
        <v>0.12398701331901731</v>
      </c>
      <c r="G13" s="46">
        <f t="shared" si="19"/>
        <v>7.9565810229126011E-2</v>
      </c>
      <c r="H13" s="46">
        <f t="shared" si="19"/>
        <v>0.1554402981723472</v>
      </c>
      <c r="I13" s="46">
        <f t="shared" si="19"/>
        <v>0.14677799186469706</v>
      </c>
      <c r="J13" s="46">
        <f t="shared" si="19"/>
        <v>0.24973160712348119</v>
      </c>
      <c r="K13" s="46">
        <f t="shared" si="19"/>
        <v>0.23318198378608224</v>
      </c>
      <c r="L13" s="46">
        <f t="shared" si="19"/>
        <v>0.24188183006446728</v>
      </c>
      <c r="M13" s="46">
        <f t="shared" si="19"/>
        <v>0.24787345160756472</v>
      </c>
      <c r="N13" s="46">
        <f t="shared" si="19"/>
        <v>0.25201548909112825</v>
      </c>
    </row>
    <row r="14" spans="1:19" x14ac:dyDescent="0.3">
      <c r="A14" s="40" t="s">
        <v>135</v>
      </c>
      <c r="B14" s="73">
        <f>+B45+B76+B107+B138+B173+B192+B211</f>
        <v>963</v>
      </c>
      <c r="C14" s="73">
        <f t="shared" ref="C14:N14" si="20">+C45+C76+C107+C138+C173+C192+C211</f>
        <v>1143</v>
      </c>
      <c r="D14" s="73">
        <f t="shared" si="20"/>
        <v>1105</v>
      </c>
      <c r="E14" s="73">
        <f t="shared" si="20"/>
        <v>1028</v>
      </c>
      <c r="F14" s="73">
        <f t="shared" si="20"/>
        <v>1119</v>
      </c>
      <c r="G14" s="73">
        <f t="shared" si="20"/>
        <v>1086</v>
      </c>
      <c r="H14" s="73">
        <f t="shared" si="20"/>
        <v>695</v>
      </c>
      <c r="I14" s="73">
        <f t="shared" si="20"/>
        <v>758</v>
      </c>
      <c r="J14" s="73">
        <f t="shared" si="20"/>
        <v>622.13017859075899</v>
      </c>
      <c r="K14" s="73">
        <f t="shared" si="20"/>
        <v>659.46534756256438</v>
      </c>
      <c r="L14" s="73">
        <f t="shared" si="20"/>
        <v>676.96593146104476</v>
      </c>
      <c r="M14" s="73">
        <f t="shared" si="20"/>
        <v>705.77294735596615</v>
      </c>
      <c r="N14" s="73">
        <f t="shared" si="20"/>
        <v>745.00063307985033</v>
      </c>
      <c r="O14" t="s">
        <v>146</v>
      </c>
    </row>
    <row r="15" spans="1:19" x14ac:dyDescent="0.3">
      <c r="A15" s="41" t="s">
        <v>129</v>
      </c>
      <c r="B15" s="46" t="str">
        <f t="shared" ref="B15:H15" si="21">+IFERROR(B14/A14-1,"nm")</f>
        <v>nm</v>
      </c>
      <c r="C15" s="46">
        <f t="shared" si="21"/>
        <v>0.18691588785046731</v>
      </c>
      <c r="D15" s="46">
        <f t="shared" si="21"/>
        <v>-3.3245844269466307E-2</v>
      </c>
      <c r="E15" s="46">
        <f t="shared" si="21"/>
        <v>-6.9683257918552011E-2</v>
      </c>
      <c r="F15" s="46">
        <f t="shared" si="21"/>
        <v>8.8521400778210024E-2</v>
      </c>
      <c r="G15" s="46">
        <f t="shared" si="21"/>
        <v>-2.9490616621983934E-2</v>
      </c>
      <c r="H15" s="46">
        <f t="shared" si="21"/>
        <v>-0.36003683241252304</v>
      </c>
      <c r="I15" s="46">
        <f>+IFERROR(I14/H14-1,"nm")</f>
        <v>9.0647482014388547E-2</v>
      </c>
      <c r="J15" s="46">
        <f t="shared" ref="J15:N15" si="22">+IFERROR(J14/I14-1,"nm")</f>
        <v>-0.17924778550031795</v>
      </c>
      <c r="K15" s="46">
        <f t="shared" si="22"/>
        <v>6.0011827518762217E-2</v>
      </c>
      <c r="L15" s="46">
        <f t="shared" si="22"/>
        <v>2.6537533720556894E-2</v>
      </c>
      <c r="M15" s="46">
        <f t="shared" si="22"/>
        <v>4.2553124989243463E-2</v>
      </c>
      <c r="N15" s="46">
        <f t="shared" si="22"/>
        <v>5.5581169370181538E-2</v>
      </c>
    </row>
    <row r="16" spans="1:19" x14ac:dyDescent="0.3">
      <c r="A16" s="41" t="s">
        <v>133</v>
      </c>
      <c r="B16" s="46">
        <f>+IFERROR(B14/B$3,"nm")</f>
        <v>3.146955981830659E-2</v>
      </c>
      <c r="C16" s="46">
        <f t="shared" ref="C16:I16" si="23">+IFERROR(C14/C$3,"nm")</f>
        <v>3.5303928836174947E-2</v>
      </c>
      <c r="D16" s="46">
        <f t="shared" si="23"/>
        <v>3.2168850072780204E-2</v>
      </c>
      <c r="E16" s="46">
        <f t="shared" si="23"/>
        <v>2.8244086051048164E-2</v>
      </c>
      <c r="F16" s="46">
        <f t="shared" si="23"/>
        <v>2.8606488227624818E-2</v>
      </c>
      <c r="G16" s="46">
        <f t="shared" si="23"/>
        <v>2.9035104136031869E-2</v>
      </c>
      <c r="H16" s="46">
        <f t="shared" si="23"/>
        <v>1.5604652207104046E-2</v>
      </c>
      <c r="I16" s="46">
        <f t="shared" si="23"/>
        <v>1.6227788482123744E-2</v>
      </c>
      <c r="J16" s="46">
        <f t="shared" ref="J16:N16" si="24">+IFERROR(J14/J$3,"nm")</f>
        <v>1.2601385449749898E-2</v>
      </c>
      <c r="K16" s="46">
        <f t="shared" si="24"/>
        <v>1.2600735098766183E-2</v>
      </c>
      <c r="L16" s="46">
        <f t="shared" si="24"/>
        <v>1.2127940217829756E-2</v>
      </c>
      <c r="M16" s="46">
        <f t="shared" si="24"/>
        <v>1.1797448585779734E-2</v>
      </c>
      <c r="N16" s="46">
        <f t="shared" si="24"/>
        <v>1.1564956791176324E-2</v>
      </c>
    </row>
    <row r="17" spans="1:20" x14ac:dyDescent="0.3">
      <c r="A17" s="9" t="s">
        <v>141</v>
      </c>
      <c r="B17" s="73">
        <f>+B48+B79+B110+B141+B176+B195+B214</f>
        <v>3011</v>
      </c>
      <c r="C17" s="73">
        <f t="shared" ref="C17:N17" si="25">+C48+C79+C110+C141+C176+C195+C214</f>
        <v>3520</v>
      </c>
      <c r="D17" s="73">
        <f t="shared" si="25"/>
        <v>3989</v>
      </c>
      <c r="E17" s="73">
        <f t="shared" si="25"/>
        <v>4454</v>
      </c>
      <c r="F17" s="73">
        <f t="shared" si="25"/>
        <v>4744</v>
      </c>
      <c r="G17" s="73">
        <f t="shared" si="25"/>
        <v>4866</v>
      </c>
      <c r="H17" s="73">
        <f t="shared" si="25"/>
        <v>4904</v>
      </c>
      <c r="I17" s="73">
        <f t="shared" si="25"/>
        <v>4791</v>
      </c>
      <c r="J17" s="73">
        <f t="shared" si="25"/>
        <v>2089.9452377383946</v>
      </c>
      <c r="K17" s="73">
        <f t="shared" si="25"/>
        <v>3446.8523656888028</v>
      </c>
      <c r="L17" s="73">
        <f t="shared" si="25"/>
        <v>3668.11040234661</v>
      </c>
      <c r="M17" s="73">
        <f t="shared" si="25"/>
        <v>3935.1316503013231</v>
      </c>
      <c r="N17" s="73">
        <f t="shared" si="25"/>
        <v>4245.5395519062777</v>
      </c>
      <c r="O17" t="s">
        <v>147</v>
      </c>
    </row>
    <row r="18" spans="1:20" x14ac:dyDescent="0.3">
      <c r="A18" s="41" t="s">
        <v>129</v>
      </c>
      <c r="B18" s="46" t="str">
        <f t="shared" ref="B18:H18" si="26">+IFERROR(B17/A17-1,"nm")</f>
        <v>nm</v>
      </c>
      <c r="C18" s="46">
        <f t="shared" si="26"/>
        <v>0.16904682829624718</v>
      </c>
      <c r="D18" s="46">
        <f t="shared" si="26"/>
        <v>0.13323863636363642</v>
      </c>
      <c r="E18" s="46">
        <f t="shared" si="26"/>
        <v>0.11657056906492858</v>
      </c>
      <c r="F18" s="46">
        <f t="shared" si="26"/>
        <v>6.5110013471037176E-2</v>
      </c>
      <c r="G18" s="46">
        <f t="shared" si="26"/>
        <v>2.5716694772343951E-2</v>
      </c>
      <c r="H18" s="46">
        <f t="shared" si="26"/>
        <v>7.8092889436909285E-3</v>
      </c>
      <c r="I18" s="46">
        <f>+IFERROR(I17/H17-1,"nm")</f>
        <v>-2.3042414355628038E-2</v>
      </c>
      <c r="J18" s="46">
        <f t="shared" ref="J18:N18" si="27">+IFERROR(J17/I17-1,"nm")</f>
        <v>-0.56377682368223869</v>
      </c>
      <c r="K18" s="46">
        <f t="shared" si="27"/>
        <v>0.64925487206486165</v>
      </c>
      <c r="L18" s="46">
        <f t="shared" si="27"/>
        <v>6.4191329707152134E-2</v>
      </c>
      <c r="M18" s="46">
        <f t="shared" si="27"/>
        <v>7.2795313844395526E-2</v>
      </c>
      <c r="N18" s="46">
        <f t="shared" si="27"/>
        <v>7.88811986966651E-2</v>
      </c>
    </row>
    <row r="19" spans="1:20" x14ac:dyDescent="0.3">
      <c r="A19" s="41" t="s">
        <v>133</v>
      </c>
      <c r="B19" s="46">
        <f>+IFERROR(B17/B$3,"nm")</f>
        <v>9.8395477271984569E-2</v>
      </c>
      <c r="C19" s="46">
        <f t="shared" ref="C19:I19" si="28">+IFERROR(C17/C$3,"nm")</f>
        <v>0.10872251050160613</v>
      </c>
      <c r="D19" s="46">
        <f t="shared" si="28"/>
        <v>0.11612809315866085</v>
      </c>
      <c r="E19" s="46">
        <f t="shared" si="28"/>
        <v>0.12237272302662307</v>
      </c>
      <c r="F19" s="46">
        <f t="shared" si="28"/>
        <v>0.1212771940588491</v>
      </c>
      <c r="G19" s="46">
        <f t="shared" si="28"/>
        <v>0.13009651632222013</v>
      </c>
      <c r="H19" s="46">
        <f t="shared" si="28"/>
        <v>0.11010822219228523</v>
      </c>
      <c r="I19" s="46">
        <f t="shared" si="28"/>
        <v>0.10256904303147078</v>
      </c>
      <c r="J19" s="46">
        <f t="shared" ref="J19:N19" si="29">+IFERROR(J17/J$3,"nm")</f>
        <v>4.2332306671357949E-2</v>
      </c>
      <c r="K19" s="46">
        <f t="shared" si="29"/>
        <v>6.5860736648455376E-2</v>
      </c>
      <c r="L19" s="46">
        <f t="shared" si="29"/>
        <v>6.5714715622464184E-2</v>
      </c>
      <c r="M19" s="46">
        <f t="shared" si="29"/>
        <v>6.5778255594273416E-2</v>
      </c>
      <c r="N19" s="46">
        <f t="shared" si="29"/>
        <v>6.5905288254652569E-2</v>
      </c>
    </row>
    <row r="20" spans="1:20" x14ac:dyDescent="0.3">
      <c r="A20" s="42" t="str">
        <f>+Historicals!A107</f>
        <v>North America</v>
      </c>
      <c r="B20" s="42"/>
      <c r="C20" s="42"/>
      <c r="D20" s="42"/>
      <c r="E20" s="42"/>
      <c r="F20" s="42"/>
      <c r="G20" s="42"/>
      <c r="H20" s="42"/>
      <c r="I20" s="42"/>
      <c r="J20" s="38"/>
      <c r="K20" s="38"/>
      <c r="L20" s="38"/>
      <c r="M20" s="38"/>
      <c r="N20" s="38"/>
    </row>
    <row r="21" spans="1:20" x14ac:dyDescent="0.3">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+SUM(J23+J27+J31)</f>
        <v>19630.423299019087</v>
      </c>
      <c r="K21" s="9">
        <f t="shared" ref="K21:N21" si="30">+SUM(K23+K27+K31)</f>
        <v>21024.472532193999</v>
      </c>
      <c r="L21" s="9">
        <f t="shared" si="30"/>
        <v>22550.722680315626</v>
      </c>
      <c r="M21" s="9">
        <f t="shared" si="30"/>
        <v>24227.639058100343</v>
      </c>
      <c r="N21" s="9">
        <f t="shared" si="30"/>
        <v>26077.218042562949</v>
      </c>
    </row>
    <row r="22" spans="1:20" x14ac:dyDescent="0.3">
      <c r="A22" s="43" t="s">
        <v>129</v>
      </c>
      <c r="B22" s="46" t="str">
        <f t="shared" ref="B22:H22" si="31">+IFERROR(B21/A21-1,"nm")</f>
        <v>nm</v>
      </c>
      <c r="C22" s="46">
        <f t="shared" si="31"/>
        <v>7.4526928675400228E-2</v>
      </c>
      <c r="D22" s="46">
        <f t="shared" si="31"/>
        <v>3.0615009482525046E-2</v>
      </c>
      <c r="E22" s="46">
        <f t="shared" si="31"/>
        <v>-2.372502628811779E-2</v>
      </c>
      <c r="F22" s="46">
        <f t="shared" si="31"/>
        <v>7.0481319421070276E-2</v>
      </c>
      <c r="G22" s="46">
        <f t="shared" si="31"/>
        <v>-8.9171173437303519E-2</v>
      </c>
      <c r="H22" s="46">
        <f t="shared" si="31"/>
        <v>0.18606738470035911</v>
      </c>
      <c r="I22" s="46">
        <f t="shared" ref="I22" si="32">+IFERROR(I21/H21-1,"nm")</f>
        <v>6.8339251411607238E-2</v>
      </c>
      <c r="J22" s="46">
        <f t="shared" ref="J22" si="33">+IFERROR(J21/I21-1,"nm")</f>
        <v>6.9602969488317346E-2</v>
      </c>
      <c r="K22" s="46">
        <f t="shared" ref="K22" si="34">+IFERROR(K21/J21-1,"nm")</f>
        <v>7.1014731161939348E-2</v>
      </c>
      <c r="L22" s="46">
        <f t="shared" ref="L22" si="35">+IFERROR(L21/K21-1,"nm")</f>
        <v>7.2593980457038132E-2</v>
      </c>
      <c r="M22" s="46">
        <f t="shared" ref="M22" si="36">+IFERROR(M21/L21-1,"nm")</f>
        <v>7.4361979505361386E-2</v>
      </c>
      <c r="N22" s="46">
        <f t="shared" ref="N22" si="37">+IFERROR(N21/M21-1,"nm")</f>
        <v>7.6341693056724447E-2</v>
      </c>
      <c r="P22" s="74"/>
      <c r="Q22" s="74"/>
      <c r="R22" s="74"/>
      <c r="S22" s="74"/>
      <c r="T22" s="74"/>
    </row>
    <row r="23" spans="1:20" x14ac:dyDescent="0.3">
      <c r="A23" s="44"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12841.290278254894</v>
      </c>
      <c r="K23" s="3">
        <f t="shared" ref="K23:N23" si="38">+J23*(1+K24)</f>
        <v>13485.339876545931</v>
      </c>
      <c r="L23" s="3">
        <f t="shared" si="38"/>
        <v>14161.691515836794</v>
      </c>
      <c r="M23" s="3">
        <f t="shared" si="38"/>
        <v>14871.965291622491</v>
      </c>
      <c r="N23" s="3">
        <f t="shared" si="38"/>
        <v>15617.862554616953</v>
      </c>
    </row>
    <row r="24" spans="1:20" x14ac:dyDescent="0.3">
      <c r="A24" s="43" t="s">
        <v>129</v>
      </c>
      <c r="B24" s="46" t="str">
        <f t="shared" ref="B24" si="39">+IFERROR(B23/A23-1,"nm")</f>
        <v>nm</v>
      </c>
      <c r="C24" s="46">
        <f t="shared" ref="C24" si="40">+IFERROR(C23/B23-1,"nm")</f>
        <v>9.3228309428638578E-2</v>
      </c>
      <c r="D24" s="46">
        <f t="shared" ref="D24" si="41">+IFERROR(D23/C23-1,"nm")</f>
        <v>4.1402301322722934E-2</v>
      </c>
      <c r="E24" s="46">
        <f t="shared" ref="E24" si="42">+IFERROR(E23/D23-1,"nm")</f>
        <v>-3.7381247418422192E-2</v>
      </c>
      <c r="F24" s="46">
        <f t="shared" ref="F24" si="43">+IFERROR(F23/E23-1,"nm")</f>
        <v>7.755846384895948E-2</v>
      </c>
      <c r="G24" s="46">
        <f t="shared" ref="G24" si="44">+IFERROR(G23/F23-1,"nm")</f>
        <v>-7.1279243404678949E-2</v>
      </c>
      <c r="H24" s="46">
        <f t="shared" ref="H24" si="45">+IFERROR(H23/G23-1,"nm")</f>
        <v>0.24815092721620746</v>
      </c>
      <c r="I24" s="46">
        <f>+IFERROR(I23/H23-1,"nm")</f>
        <v>5.0154586052902683E-2</v>
      </c>
      <c r="J24" s="46">
        <f>+J25+J26</f>
        <v>5.0154586052902683E-2</v>
      </c>
      <c r="K24" s="46">
        <f t="shared" ref="K24:N24" si="46">+K25+K26</f>
        <v>5.0154586052902683E-2</v>
      </c>
      <c r="L24" s="46">
        <f t="shared" si="46"/>
        <v>5.0154586052902683E-2</v>
      </c>
      <c r="M24" s="46">
        <f t="shared" si="46"/>
        <v>5.0154586052902683E-2</v>
      </c>
      <c r="N24" s="46">
        <f t="shared" si="46"/>
        <v>5.0154586052902683E-2</v>
      </c>
    </row>
    <row r="25" spans="1:20" x14ac:dyDescent="0.3">
      <c r="A25" s="43" t="s">
        <v>137</v>
      </c>
      <c r="B25" s="46" t="str">
        <f>+Historicals!B180</f>
        <v>nm</v>
      </c>
      <c r="C25" s="46">
        <f>+Historicals!C180</f>
        <v>9.3228309428638578E-2</v>
      </c>
      <c r="D25" s="46">
        <f>+Historicals!D180</f>
        <v>4.1402301322722934E-2</v>
      </c>
      <c r="E25" s="46">
        <f>+Historicals!E180</f>
        <v>-3.7381247418422192E-2</v>
      </c>
      <c r="F25" s="46">
        <f>+Historicals!F180</f>
        <v>7.755846384895948E-2</v>
      </c>
      <c r="G25" s="46">
        <f>+Historicals!G180</f>
        <v>-7.1279243404678949E-2</v>
      </c>
      <c r="H25" s="46">
        <f>+Historicals!H180</f>
        <v>0.24815092721620746</v>
      </c>
      <c r="I25" s="46">
        <f>+Historicals!I180</f>
        <v>5.0154586052902683E-2</v>
      </c>
      <c r="J25" s="75">
        <f>I25</f>
        <v>5.0154586052902683E-2</v>
      </c>
      <c r="K25" s="75">
        <f t="shared" ref="K25:N25" si="47">J25</f>
        <v>5.0154586052902683E-2</v>
      </c>
      <c r="L25" s="75">
        <f t="shared" si="47"/>
        <v>5.0154586052902683E-2</v>
      </c>
      <c r="M25" s="75">
        <f t="shared" si="47"/>
        <v>5.0154586052902683E-2</v>
      </c>
      <c r="N25" s="75">
        <f t="shared" si="47"/>
        <v>5.0154586052902683E-2</v>
      </c>
    </row>
    <row r="26" spans="1:20" x14ac:dyDescent="0.3">
      <c r="A26" s="43" t="s">
        <v>138</v>
      </c>
      <c r="B26" s="46" t="str">
        <f t="shared" ref="B26:H26" si="48">+IFERROR(B24-B25,"nm")</f>
        <v>nm</v>
      </c>
      <c r="C26" s="46">
        <f t="shared" si="48"/>
        <v>0</v>
      </c>
      <c r="D26" s="46">
        <f t="shared" si="48"/>
        <v>0</v>
      </c>
      <c r="E26" s="46">
        <f t="shared" si="48"/>
        <v>0</v>
      </c>
      <c r="F26" s="46">
        <f t="shared" si="48"/>
        <v>0</v>
      </c>
      <c r="G26" s="46">
        <f t="shared" si="48"/>
        <v>0</v>
      </c>
      <c r="H26" s="46">
        <f t="shared" si="48"/>
        <v>0</v>
      </c>
      <c r="I26" s="46">
        <f>+IFERROR(I24-I25,"nm")</f>
        <v>0</v>
      </c>
      <c r="J26" s="48">
        <v>0</v>
      </c>
      <c r="K26" s="48">
        <f t="shared" ref="K26:N26" si="49">+J26</f>
        <v>0</v>
      </c>
      <c r="L26" s="48">
        <f t="shared" si="49"/>
        <v>0</v>
      </c>
      <c r="M26" s="48">
        <f t="shared" si="49"/>
        <v>0</v>
      </c>
      <c r="N26" s="48">
        <f t="shared" si="49"/>
        <v>0</v>
      </c>
    </row>
    <row r="27" spans="1:20" x14ac:dyDescent="0.3">
      <c r="A27" s="44"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5998.8194112967376</v>
      </c>
      <c r="K27" s="3">
        <f t="shared" ref="K27" si="50">+J27*(1+K28)</f>
        <v>6552.409746786333</v>
      </c>
      <c r="L27" s="3">
        <f t="shared" ref="L27" si="51">+K27*(1+L28)</f>
        <v>7157.0871776751274</v>
      </c>
      <c r="M27" s="3">
        <f t="shared" ref="M27" si="52">+L27*(1+M28)</f>
        <v>7817.5661853205638</v>
      </c>
      <c r="N27" s="3">
        <f t="shared" ref="N27" si="53">+M27*(1+N28)</f>
        <v>8538.9963185721026</v>
      </c>
    </row>
    <row r="28" spans="1:20" x14ac:dyDescent="0.3">
      <c r="A28" s="43" t="s">
        <v>129</v>
      </c>
      <c r="B28" s="46" t="str">
        <f t="shared" ref="B28" si="54">+IFERROR(B27/A27-1,"nm")</f>
        <v>nm</v>
      </c>
      <c r="C28" s="46">
        <f t="shared" ref="C28" si="55">+IFERROR(C27/B27-1,"nm")</f>
        <v>7.6190476190476142E-2</v>
      </c>
      <c r="D28" s="46">
        <f t="shared" ref="D28" si="56">+IFERROR(D27/C27-1,"nm")</f>
        <v>2.9498525073746285E-2</v>
      </c>
      <c r="E28" s="46">
        <f t="shared" ref="E28" si="57">+IFERROR(E27/D27-1,"nm")</f>
        <v>1.0642652476463343E-2</v>
      </c>
      <c r="F28" s="46">
        <f t="shared" ref="F28" si="58">+IFERROR(F27/E27-1,"nm")</f>
        <v>6.5208586472256025E-2</v>
      </c>
      <c r="G28" s="46">
        <f t="shared" ref="G28" si="59">+IFERROR(G27/F27-1,"nm")</f>
        <v>-0.11806083650190113</v>
      </c>
      <c r="H28" s="46">
        <f t="shared" ref="H28" si="60">+IFERROR(H27/G27-1,"nm")</f>
        <v>8.3854278939426541E-2</v>
      </c>
      <c r="I28" s="46">
        <f>+IFERROR(I27/H27-1,"nm")</f>
        <v>9.2283214001591007E-2</v>
      </c>
      <c r="J28" s="46">
        <f>+J29+J30</f>
        <v>9.2283214001591007E-2</v>
      </c>
      <c r="K28" s="46">
        <f t="shared" ref="K28" si="61">+K29+K30</f>
        <v>9.2283214001591007E-2</v>
      </c>
      <c r="L28" s="46">
        <f t="shared" ref="L28" si="62">+L29+L30</f>
        <v>9.2283214001591007E-2</v>
      </c>
      <c r="M28" s="46">
        <f t="shared" ref="M28" si="63">+M29+M30</f>
        <v>9.2283214001591007E-2</v>
      </c>
      <c r="N28" s="46">
        <f t="shared" ref="N28" si="64">+N29+N30</f>
        <v>9.2283214001591007E-2</v>
      </c>
    </row>
    <row r="29" spans="1:20" x14ac:dyDescent="0.3">
      <c r="A29" s="43" t="s">
        <v>137</v>
      </c>
      <c r="B29" s="46" t="str">
        <f>+Historicals!B181</f>
        <v>nm</v>
      </c>
      <c r="C29" s="46">
        <f>+Historicals!C181</f>
        <v>7.6190476190476142E-2</v>
      </c>
      <c r="D29" s="46">
        <f>+Historicals!D181</f>
        <v>2.9498525073746285E-2</v>
      </c>
      <c r="E29" s="46">
        <f>+Historicals!E181</f>
        <v>1.0642652476463343E-2</v>
      </c>
      <c r="F29" s="46">
        <f>+Historicals!F181</f>
        <v>6.5208586472256025E-2</v>
      </c>
      <c r="G29" s="46">
        <f>+Historicals!G181</f>
        <v>-0.11806083650190113</v>
      </c>
      <c r="H29" s="46">
        <f>+Historicals!H181</f>
        <v>8.3854278939426541E-2</v>
      </c>
      <c r="I29" s="46">
        <f>+Historicals!I181</f>
        <v>9.2283214001591007E-2</v>
      </c>
      <c r="J29" s="75">
        <f>I29</f>
        <v>9.2283214001591007E-2</v>
      </c>
      <c r="K29" s="75">
        <f t="shared" ref="K29:N29" si="65">J29</f>
        <v>9.2283214001591007E-2</v>
      </c>
      <c r="L29" s="75">
        <f t="shared" si="65"/>
        <v>9.2283214001591007E-2</v>
      </c>
      <c r="M29" s="75">
        <f t="shared" si="65"/>
        <v>9.2283214001591007E-2</v>
      </c>
      <c r="N29" s="75">
        <f t="shared" si="65"/>
        <v>9.2283214001591007E-2</v>
      </c>
    </row>
    <row r="30" spans="1:20" x14ac:dyDescent="0.3">
      <c r="A30" s="43" t="s">
        <v>138</v>
      </c>
      <c r="B30" s="46" t="str">
        <f t="shared" ref="B30" si="66">+IFERROR(B28-B29,"nm")</f>
        <v>nm</v>
      </c>
      <c r="C30" s="46">
        <f t="shared" ref="C30" si="67">+IFERROR(C28-C29,"nm")</f>
        <v>0</v>
      </c>
      <c r="D30" s="46">
        <f t="shared" ref="D30" si="68">+IFERROR(D28-D29,"nm")</f>
        <v>0</v>
      </c>
      <c r="E30" s="46">
        <f t="shared" ref="E30" si="69">+IFERROR(E28-E29,"nm")</f>
        <v>0</v>
      </c>
      <c r="F30" s="46">
        <f t="shared" ref="F30" si="70">+IFERROR(F28-F29,"nm")</f>
        <v>0</v>
      </c>
      <c r="G30" s="46">
        <f t="shared" ref="G30" si="71">+IFERROR(G28-G29,"nm")</f>
        <v>0</v>
      </c>
      <c r="H30" s="46">
        <f t="shared" ref="H30" si="72">+IFERROR(H28-H29,"nm")</f>
        <v>0</v>
      </c>
      <c r="I30" s="46">
        <f>+IFERROR(I28-I29,"nm")</f>
        <v>0</v>
      </c>
      <c r="J30" s="48">
        <v>0</v>
      </c>
      <c r="K30" s="48">
        <f t="shared" ref="K30:N30" si="73">+J30</f>
        <v>0</v>
      </c>
      <c r="L30" s="48">
        <f t="shared" si="73"/>
        <v>0</v>
      </c>
      <c r="M30" s="48">
        <f t="shared" si="73"/>
        <v>0</v>
      </c>
      <c r="N30" s="48">
        <f t="shared" si="73"/>
        <v>0</v>
      </c>
    </row>
    <row r="31" spans="1:20" x14ac:dyDescent="0.3">
      <c r="A31" s="44"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790.31360946745554</v>
      </c>
      <c r="K31" s="3">
        <f t="shared" ref="K31" si="74">+J31*(1+K32)</f>
        <v>986.72290886173437</v>
      </c>
      <c r="L31" s="3">
        <f t="shared" ref="L31" si="75">+K31*(1+L32)</f>
        <v>1231.9439868037039</v>
      </c>
      <c r="M31" s="3">
        <f t="shared" ref="M31" si="76">+L31*(1+M32)</f>
        <v>1538.1075811572871</v>
      </c>
      <c r="N31" s="3">
        <f t="shared" ref="N31" si="77">+M31*(1+N32)</f>
        <v>1920.3591693738908</v>
      </c>
    </row>
    <row r="32" spans="1:20" x14ac:dyDescent="0.3">
      <c r="A32" s="43" t="s">
        <v>129</v>
      </c>
      <c r="B32" s="46" t="str">
        <f t="shared" ref="B32" si="78">+IFERROR(B31/A31-1,"nm")</f>
        <v>nm</v>
      </c>
      <c r="C32" s="46">
        <f t="shared" ref="C32" si="79">+IFERROR(C31/B31-1,"nm")</f>
        <v>-0.12742718446601942</v>
      </c>
      <c r="D32" s="46">
        <f t="shared" ref="D32" si="80">+IFERROR(D31/C31-1,"nm")</f>
        <v>-0.10152990264255912</v>
      </c>
      <c r="E32" s="46">
        <f t="shared" ref="E32" si="81">+IFERROR(E31/D31-1,"nm")</f>
        <v>-7.8947368421052655E-2</v>
      </c>
      <c r="F32" s="46">
        <f t="shared" ref="F32" si="82">+IFERROR(F31/E31-1,"nm")</f>
        <v>3.3613445378151141E-3</v>
      </c>
      <c r="G32" s="46">
        <f t="shared" ref="G32" si="83">+IFERROR(G31/F31-1,"nm")</f>
        <v>-0.13567839195979903</v>
      </c>
      <c r="H32" s="46">
        <f t="shared" ref="H32" si="84">+IFERROR(H31/G31-1,"nm")</f>
        <v>-1.744186046511631E-2</v>
      </c>
      <c r="I32" s="46">
        <f>+IFERROR(I31/H31-1,"nm")</f>
        <v>0.24852071005917153</v>
      </c>
      <c r="J32" s="46">
        <f>+J33+J34</f>
        <v>0.24852071005917153</v>
      </c>
      <c r="K32" s="46">
        <f t="shared" ref="K32" si="85">+K33+K34</f>
        <v>0.24852071005917153</v>
      </c>
      <c r="L32" s="46">
        <f t="shared" ref="L32" si="86">+L33+L34</f>
        <v>0.24852071005917153</v>
      </c>
      <c r="M32" s="46">
        <f t="shared" ref="M32" si="87">+M33+M34</f>
        <v>0.24852071005917153</v>
      </c>
      <c r="N32" s="46">
        <f t="shared" ref="N32" si="88">+N33+N34</f>
        <v>0.24852071005917153</v>
      </c>
    </row>
    <row r="33" spans="1:14" x14ac:dyDescent="0.3">
      <c r="A33" s="43" t="s">
        <v>137</v>
      </c>
      <c r="B33" s="46" t="str">
        <f>+Historicals!B182</f>
        <v>nm</v>
      </c>
      <c r="C33" s="46">
        <f>+Historicals!C182</f>
        <v>-0.12742718446601942</v>
      </c>
      <c r="D33" s="46">
        <f>+Historicals!D182</f>
        <v>-0.10152990264255912</v>
      </c>
      <c r="E33" s="46">
        <f>+Historicals!E182</f>
        <v>-7.8947368421052655E-2</v>
      </c>
      <c r="F33" s="46">
        <f>+Historicals!F182</f>
        <v>3.3613445378151141E-3</v>
      </c>
      <c r="G33" s="46">
        <f>+Historicals!G182</f>
        <v>-0.13567839195979903</v>
      </c>
      <c r="H33" s="46">
        <f>+Historicals!H182</f>
        <v>-1.744186046511631E-2</v>
      </c>
      <c r="I33" s="46">
        <f>+Historicals!I182</f>
        <v>0.24852071005917153</v>
      </c>
      <c r="J33" s="75">
        <f>I33</f>
        <v>0.24852071005917153</v>
      </c>
      <c r="K33" s="75">
        <f t="shared" ref="K33:N33" si="89">J33</f>
        <v>0.24852071005917153</v>
      </c>
      <c r="L33" s="75">
        <f t="shared" si="89"/>
        <v>0.24852071005917153</v>
      </c>
      <c r="M33" s="75">
        <f t="shared" si="89"/>
        <v>0.24852071005917153</v>
      </c>
      <c r="N33" s="75">
        <f t="shared" si="89"/>
        <v>0.24852071005917153</v>
      </c>
    </row>
    <row r="34" spans="1:14" x14ac:dyDescent="0.3">
      <c r="A34" s="43" t="s">
        <v>138</v>
      </c>
      <c r="B34" s="46" t="str">
        <f t="shared" ref="B34" si="90">+IFERROR(B32-B33,"nm")</f>
        <v>nm</v>
      </c>
      <c r="C34" s="46">
        <f t="shared" ref="C34" si="91">+IFERROR(C32-C33,"nm")</f>
        <v>0</v>
      </c>
      <c r="D34" s="46">
        <f t="shared" ref="D34" si="92">+IFERROR(D32-D33,"nm")</f>
        <v>0</v>
      </c>
      <c r="E34" s="46">
        <f t="shared" ref="E34" si="93">+IFERROR(E32-E33,"nm")</f>
        <v>0</v>
      </c>
      <c r="F34" s="46">
        <f t="shared" ref="F34" si="94">+IFERROR(F32-F33,"nm")</f>
        <v>0</v>
      </c>
      <c r="G34" s="46">
        <f t="shared" ref="G34" si="95">+IFERROR(G32-G33,"nm")</f>
        <v>0</v>
      </c>
      <c r="H34" s="46">
        <f t="shared" ref="H34" si="96">+IFERROR(H32-H33,"nm")</f>
        <v>0</v>
      </c>
      <c r="I34" s="46">
        <f>+IFERROR(I32-I33,"nm")</f>
        <v>0</v>
      </c>
      <c r="J34" s="48">
        <v>0</v>
      </c>
      <c r="K34" s="48">
        <f t="shared" ref="K34:N34" si="97">+J34</f>
        <v>0</v>
      </c>
      <c r="L34" s="48">
        <f t="shared" si="97"/>
        <v>0</v>
      </c>
      <c r="M34" s="48">
        <f t="shared" si="97"/>
        <v>0</v>
      </c>
      <c r="N34" s="48">
        <f t="shared" si="97"/>
        <v>0</v>
      </c>
    </row>
    <row r="35" spans="1:14" x14ac:dyDescent="0.3">
      <c r="A35" s="9" t="s">
        <v>130</v>
      </c>
      <c r="B35" s="47">
        <f t="shared" ref="B35:H35" si="98">+B42+B38</f>
        <v>3766</v>
      </c>
      <c r="C35" s="47">
        <f t="shared" si="98"/>
        <v>3896</v>
      </c>
      <c r="D35" s="47">
        <f t="shared" si="98"/>
        <v>4015</v>
      </c>
      <c r="E35" s="47">
        <f t="shared" si="98"/>
        <v>3760</v>
      </c>
      <c r="F35" s="47">
        <f t="shared" si="98"/>
        <v>4074</v>
      </c>
      <c r="G35" s="47">
        <f t="shared" si="98"/>
        <v>3047</v>
      </c>
      <c r="H35" s="47">
        <f t="shared" si="98"/>
        <v>5219</v>
      </c>
      <c r="I35" s="47">
        <f>+I42+I38</f>
        <v>5238</v>
      </c>
      <c r="J35" s="47">
        <f>+J21*J37</f>
        <v>5602.580354179805</v>
      </c>
      <c r="K35" s="47">
        <f t="shared" ref="K35:N35" si="99">+K21*K37</f>
        <v>6000.4460918450477</v>
      </c>
      <c r="L35" s="47">
        <f t="shared" si="99"/>
        <v>6436.0423581699579</v>
      </c>
      <c r="M35" s="47">
        <f t="shared" si="99"/>
        <v>6914.6392081038302</v>
      </c>
      <c r="N35" s="47">
        <f t="shared" si="99"/>
        <v>7442.5144721268844</v>
      </c>
    </row>
    <row r="36" spans="1:14" x14ac:dyDescent="0.3">
      <c r="A36" s="45" t="s">
        <v>129</v>
      </c>
      <c r="B36" s="46" t="str">
        <f t="shared" ref="B36" si="100">+IFERROR(B35/A35-1,"nm")</f>
        <v>nm</v>
      </c>
      <c r="C36" s="46">
        <f t="shared" ref="C36" si="101">+IFERROR(C35/B35-1,"nm")</f>
        <v>3.4519383961763239E-2</v>
      </c>
      <c r="D36" s="46">
        <f t="shared" ref="D36" si="102">+IFERROR(D35/C35-1,"nm")</f>
        <v>3.0544147843942548E-2</v>
      </c>
      <c r="E36" s="46">
        <f t="shared" ref="E36" si="103">+IFERROR(E35/D35-1,"nm")</f>
        <v>-6.3511830635118338E-2</v>
      </c>
      <c r="F36" s="46">
        <f t="shared" ref="F36" si="104">+IFERROR(F35/E35-1,"nm")</f>
        <v>8.3510638297872308E-2</v>
      </c>
      <c r="G36" s="46">
        <f t="shared" ref="G36" si="105">+IFERROR(G35/F35-1,"nm")</f>
        <v>-0.25208640157093765</v>
      </c>
      <c r="H36" s="46">
        <f t="shared" ref="H36" si="106">+IFERROR(H35/G35-1,"nm")</f>
        <v>0.71283229405973092</v>
      </c>
      <c r="I36" s="46">
        <f>+IFERROR(I35/H35-1,"nm")</f>
        <v>3.6405441655489312E-3</v>
      </c>
      <c r="J36" s="46">
        <f t="shared" ref="J36:N36" si="107">+IFERROR(J35/I35-1,"nm")</f>
        <v>6.9602969488317123E-2</v>
      </c>
      <c r="K36" s="46">
        <f t="shared" si="107"/>
        <v>7.101473116193957E-2</v>
      </c>
      <c r="L36" s="46">
        <f t="shared" si="107"/>
        <v>7.2593980457038132E-2</v>
      </c>
      <c r="M36" s="46">
        <f t="shared" si="107"/>
        <v>7.4361979505361386E-2</v>
      </c>
      <c r="N36" s="46">
        <f t="shared" si="107"/>
        <v>7.6341693056724447E-2</v>
      </c>
    </row>
    <row r="37" spans="1:14" x14ac:dyDescent="0.3">
      <c r="A37" s="45" t="s">
        <v>131</v>
      </c>
      <c r="B37" s="46">
        <f t="shared" ref="B37:H37" si="108">+IFERROR(B35/B$21,"nm")</f>
        <v>0.27409024745269289</v>
      </c>
      <c r="C37" s="46">
        <f t="shared" si="108"/>
        <v>0.26388512598211866</v>
      </c>
      <c r="D37" s="46">
        <f t="shared" si="108"/>
        <v>0.26386698212407994</v>
      </c>
      <c r="E37" s="46">
        <f t="shared" si="108"/>
        <v>0.25311342982160889</v>
      </c>
      <c r="F37" s="46">
        <f t="shared" si="108"/>
        <v>0.25619418941013711</v>
      </c>
      <c r="G37" s="46">
        <f t="shared" si="108"/>
        <v>0.2103700635183651</v>
      </c>
      <c r="H37" s="46">
        <f t="shared" si="108"/>
        <v>0.30380115256999823</v>
      </c>
      <c r="I37" s="46">
        <f>+IFERROR(I35/I$21,"nm")</f>
        <v>0.28540293140086087</v>
      </c>
      <c r="J37" s="48">
        <f>+I37</f>
        <v>0.28540293140086087</v>
      </c>
      <c r="K37" s="48">
        <f t="shared" ref="K37:N37" si="109">+J37</f>
        <v>0.28540293140086087</v>
      </c>
      <c r="L37" s="48">
        <f t="shared" si="109"/>
        <v>0.28540293140086087</v>
      </c>
      <c r="M37" s="48">
        <f t="shared" si="109"/>
        <v>0.28540293140086087</v>
      </c>
      <c r="N37" s="48">
        <f t="shared" si="109"/>
        <v>0.28540293140086087</v>
      </c>
    </row>
    <row r="38" spans="1:14" x14ac:dyDescent="0.3">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7">
        <f>+J41*J48</f>
        <v>132.63076821655133</v>
      </c>
      <c r="K38" s="47">
        <f t="shared" ref="K38:N38" si="110">+K41*K48</f>
        <v>142.04950656525125</v>
      </c>
      <c r="L38" s="47">
        <f t="shared" si="110"/>
        <v>152.36144566878102</v>
      </c>
      <c r="M38" s="47">
        <f t="shared" si="110"/>
        <v>163.69134436901012</v>
      </c>
      <c r="N38" s="47">
        <f t="shared" si="110"/>
        <v>176.18781873687169</v>
      </c>
    </row>
    <row r="39" spans="1:14" x14ac:dyDescent="0.3">
      <c r="A39" s="45" t="s">
        <v>129</v>
      </c>
      <c r="B39" s="46" t="str">
        <f t="shared" ref="B39" si="111">+IFERROR(B38/A38-1,"nm")</f>
        <v>nm</v>
      </c>
      <c r="C39" s="46">
        <f t="shared" ref="C39" si="112">+IFERROR(C38/B38-1,"nm")</f>
        <v>9.9173553719008156E-2</v>
      </c>
      <c r="D39" s="46">
        <f t="shared" ref="D39" si="113">+IFERROR(D38/C38-1,"nm")</f>
        <v>5.2631578947368363E-2</v>
      </c>
      <c r="E39" s="46">
        <f t="shared" ref="E39" si="114">+IFERROR(E38/D38-1,"nm")</f>
        <v>0.14285714285714279</v>
      </c>
      <c r="F39" s="46">
        <f t="shared" ref="F39" si="115">+IFERROR(F38/E38-1,"nm")</f>
        <v>-6.8749999999999978E-2</v>
      </c>
      <c r="G39" s="46">
        <f t="shared" ref="G39" si="116">+IFERROR(G38/F38-1,"nm")</f>
        <v>-6.7114093959731447E-3</v>
      </c>
      <c r="H39" s="46">
        <f t="shared" ref="H39" si="117">+IFERROR(H38/G38-1,"nm")</f>
        <v>-0.1216216216216216</v>
      </c>
      <c r="I39" s="46">
        <f>+IFERROR(I38/H38-1,"nm")</f>
        <v>-4.6153846153846101E-2</v>
      </c>
      <c r="J39" s="46">
        <f t="shared" ref="J39" si="118">+IFERROR(J38/I38-1,"nm")</f>
        <v>6.9602969488317123E-2</v>
      </c>
      <c r="K39" s="46">
        <f t="shared" ref="K39" si="119">+IFERROR(K38/J38-1,"nm")</f>
        <v>7.101473116193957E-2</v>
      </c>
      <c r="L39" s="46">
        <f t="shared" ref="L39" si="120">+IFERROR(L38/K38-1,"nm")</f>
        <v>7.2593980457038132E-2</v>
      </c>
      <c r="M39" s="46">
        <f t="shared" ref="M39" si="121">+IFERROR(M38/L38-1,"nm")</f>
        <v>7.4361979505361164E-2</v>
      </c>
      <c r="N39" s="46">
        <f t="shared" ref="N39" si="122">+IFERROR(N38/M38-1,"nm")</f>
        <v>7.6341693056724447E-2</v>
      </c>
    </row>
    <row r="40" spans="1:14" x14ac:dyDescent="0.3">
      <c r="A40" s="45" t="s">
        <v>133</v>
      </c>
      <c r="B40" s="46">
        <f t="shared" ref="B40:H40" si="123">+IFERROR(B38/B$21,"nm")</f>
        <v>8.8064046579330417E-3</v>
      </c>
      <c r="C40" s="46">
        <f t="shared" si="123"/>
        <v>9.0083988079111346E-3</v>
      </c>
      <c r="D40" s="46">
        <f t="shared" si="123"/>
        <v>9.2008412197686646E-3</v>
      </c>
      <c r="E40" s="46">
        <f t="shared" si="123"/>
        <v>1.0770784247728038E-2</v>
      </c>
      <c r="F40" s="46">
        <f t="shared" si="123"/>
        <v>9.3698905798012821E-3</v>
      </c>
      <c r="G40" s="46">
        <f t="shared" si="123"/>
        <v>1.0218171775752554E-2</v>
      </c>
      <c r="H40" s="46">
        <f t="shared" si="123"/>
        <v>7.5673787764130628E-3</v>
      </c>
      <c r="I40" s="46">
        <f>+IFERROR(I38/I$21,"nm")</f>
        <v>6.7563886013185855E-3</v>
      </c>
      <c r="J40" s="46">
        <f t="shared" ref="J40:N40" si="124">+IFERROR(J38/J$21,"nm")</f>
        <v>6.7563886013185847E-3</v>
      </c>
      <c r="K40" s="46">
        <f t="shared" si="124"/>
        <v>6.7563886013185864E-3</v>
      </c>
      <c r="L40" s="46">
        <f t="shared" si="124"/>
        <v>6.7563886013185864E-3</v>
      </c>
      <c r="M40" s="46">
        <f t="shared" si="124"/>
        <v>6.7563886013185864E-3</v>
      </c>
      <c r="N40" s="46">
        <f t="shared" si="124"/>
        <v>6.7563886013185864E-3</v>
      </c>
    </row>
    <row r="41" spans="1:14" x14ac:dyDescent="0.3">
      <c r="A41" s="45" t="s">
        <v>140</v>
      </c>
      <c r="B41" s="46">
        <f t="shared" ref="B41:H41" si="125">+IFERROR(B38/B48,"nm")</f>
        <v>0.19145569620253164</v>
      </c>
      <c r="C41" s="46">
        <f t="shared" si="125"/>
        <v>0.17924528301886791</v>
      </c>
      <c r="D41" s="46">
        <f t="shared" si="125"/>
        <v>0.17094017094017094</v>
      </c>
      <c r="E41" s="46">
        <f t="shared" si="125"/>
        <v>0.18867924528301888</v>
      </c>
      <c r="F41" s="46">
        <f t="shared" si="125"/>
        <v>0.18304668304668303</v>
      </c>
      <c r="G41" s="46">
        <f t="shared" si="125"/>
        <v>0.22945736434108527</v>
      </c>
      <c r="H41" s="46">
        <f t="shared" si="125"/>
        <v>0.21069692058346839</v>
      </c>
      <c r="I41" s="46">
        <f>+IFERROR(I38/I48,"nm")</f>
        <v>0.19405320813771518</v>
      </c>
      <c r="J41" s="48">
        <f>+I41</f>
        <v>0.19405320813771518</v>
      </c>
      <c r="K41" s="48">
        <f t="shared" ref="K41:N41" si="126">+J41</f>
        <v>0.19405320813771518</v>
      </c>
      <c r="L41" s="48">
        <f t="shared" si="126"/>
        <v>0.19405320813771518</v>
      </c>
      <c r="M41" s="48">
        <f t="shared" si="126"/>
        <v>0.19405320813771518</v>
      </c>
      <c r="N41" s="48">
        <f t="shared" si="126"/>
        <v>0.19405320813771518</v>
      </c>
    </row>
    <row r="42" spans="1:14" x14ac:dyDescent="0.3">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+J35-J38</f>
        <v>5469.9495859632534</v>
      </c>
      <c r="K42" s="9">
        <f t="shared" ref="K42:N42" si="127">+K35-K38</f>
        <v>5858.3965852797965</v>
      </c>
      <c r="L42" s="9">
        <f t="shared" si="127"/>
        <v>6283.6809125011769</v>
      </c>
      <c r="M42" s="9">
        <f t="shared" si="127"/>
        <v>6750.9478637348202</v>
      </c>
      <c r="N42" s="9">
        <f t="shared" si="127"/>
        <v>7266.3266533900123</v>
      </c>
    </row>
    <row r="43" spans="1:14" x14ac:dyDescent="0.3">
      <c r="A43" s="45" t="s">
        <v>129</v>
      </c>
      <c r="B43" s="46" t="str">
        <f t="shared" ref="B43" si="128">+IFERROR(B42/A42-1,"nm")</f>
        <v>nm</v>
      </c>
      <c r="C43" s="46">
        <f t="shared" ref="C43" si="129">+IFERROR(C42/B42-1,"nm")</f>
        <v>3.2373113854595292E-2</v>
      </c>
      <c r="D43" s="46">
        <f t="shared" ref="D43" si="130">+IFERROR(D42/C42-1,"nm")</f>
        <v>2.9763486579856391E-2</v>
      </c>
      <c r="E43" s="46">
        <f t="shared" ref="E43" si="131">+IFERROR(E42/D42-1,"nm")</f>
        <v>-7.096774193548383E-2</v>
      </c>
      <c r="F43" s="46">
        <f t="shared" ref="F43" si="132">+IFERROR(F42/E42-1,"nm")</f>
        <v>9.0277777777777679E-2</v>
      </c>
      <c r="G43" s="46">
        <f t="shared" ref="G43" si="133">+IFERROR(G42/F42-1,"nm")</f>
        <v>-0.26140127388535028</v>
      </c>
      <c r="H43" s="46">
        <f t="shared" ref="H43" si="134">+IFERROR(H42/G42-1,"nm")</f>
        <v>0.75543290789927564</v>
      </c>
      <c r="I43" s="46">
        <f>+IFERROR(I42/H42-1,"nm")</f>
        <v>4.9125564943997002E-3</v>
      </c>
      <c r="J43" s="46">
        <f t="shared" ref="J43:N43" si="135">+IFERROR(J42/I42-1,"nm")</f>
        <v>6.9602969488317123E-2</v>
      </c>
      <c r="K43" s="46">
        <f t="shared" si="135"/>
        <v>7.101473116193957E-2</v>
      </c>
      <c r="L43" s="46">
        <f t="shared" si="135"/>
        <v>7.2593980457038132E-2</v>
      </c>
      <c r="M43" s="46">
        <f t="shared" si="135"/>
        <v>7.4361979505361386E-2</v>
      </c>
      <c r="N43" s="46">
        <f t="shared" si="135"/>
        <v>7.6341693056724225E-2</v>
      </c>
    </row>
    <row r="44" spans="1:14" x14ac:dyDescent="0.3">
      <c r="A44" s="45" t="s">
        <v>131</v>
      </c>
      <c r="B44" s="46">
        <f t="shared" ref="B44:H44" si="136">+IFERROR(B42/B$21,"nm")</f>
        <v>0.26528384279475981</v>
      </c>
      <c r="C44" s="46">
        <f t="shared" si="136"/>
        <v>0.25487672717420751</v>
      </c>
      <c r="D44" s="46">
        <f t="shared" si="136"/>
        <v>0.25466614090431128</v>
      </c>
      <c r="E44" s="46">
        <f t="shared" si="136"/>
        <v>0.24234264557388085</v>
      </c>
      <c r="F44" s="46">
        <f t="shared" si="136"/>
        <v>0.2468242988303358</v>
      </c>
      <c r="G44" s="46">
        <f t="shared" si="136"/>
        <v>0.20015189174261253</v>
      </c>
      <c r="H44" s="46">
        <f t="shared" si="136"/>
        <v>0.29623377379358518</v>
      </c>
      <c r="I44" s="46">
        <f>+IFERROR(I42/I$21,"nm")</f>
        <v>0.27864654279954232</v>
      </c>
      <c r="J44" s="46">
        <f t="shared" ref="J44:N44" si="137">+IFERROR(J42/J$21,"nm")</f>
        <v>0.27864654279954226</v>
      </c>
      <c r="K44" s="46">
        <f t="shared" si="137"/>
        <v>0.27864654279954232</v>
      </c>
      <c r="L44" s="46">
        <f t="shared" si="137"/>
        <v>0.27864654279954226</v>
      </c>
      <c r="M44" s="46">
        <f t="shared" si="137"/>
        <v>0.27864654279954232</v>
      </c>
      <c r="N44" s="46">
        <f t="shared" si="137"/>
        <v>0.27864654279954226</v>
      </c>
    </row>
    <row r="45" spans="1:14" x14ac:dyDescent="0.3">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7">
        <f>+J21*J47</f>
        <v>156.16203354529435</v>
      </c>
      <c r="K45" s="47">
        <f t="shared" ref="K45:N45" si="138">+K21*K47</f>
        <v>167.25183837521519</v>
      </c>
      <c r="L45" s="47">
        <f t="shared" si="138"/>
        <v>179.39331506162927</v>
      </c>
      <c r="M45" s="47">
        <f t="shared" si="138"/>
        <v>192.73335707964097</v>
      </c>
      <c r="N45" s="47">
        <f t="shared" si="138"/>
        <v>207.44694786760698</v>
      </c>
    </row>
    <row r="46" spans="1:14" x14ac:dyDescent="0.3">
      <c r="A46" s="45" t="s">
        <v>129</v>
      </c>
      <c r="B46" s="46" t="str">
        <f t="shared" ref="B46" si="139">+IFERROR(B45/A45-1,"nm")</f>
        <v>nm</v>
      </c>
      <c r="C46" s="46">
        <f t="shared" ref="C46" si="140">+IFERROR(C45/B45-1,"nm")</f>
        <v>0.16346153846153855</v>
      </c>
      <c r="D46" s="46">
        <f t="shared" ref="D46" si="141">+IFERROR(D45/C45-1,"nm")</f>
        <v>-7.8512396694214837E-2</v>
      </c>
      <c r="E46" s="46">
        <f t="shared" ref="E46" si="142">+IFERROR(E45/D45-1,"nm")</f>
        <v>-0.12107623318385652</v>
      </c>
      <c r="F46" s="46">
        <f t="shared" ref="F46" si="143">+IFERROR(F45/E45-1,"nm")</f>
        <v>-0.40306122448979587</v>
      </c>
      <c r="G46" s="46">
        <f t="shared" ref="G46" si="144">+IFERROR(G45/F45-1,"nm")</f>
        <v>-5.9829059829059839E-2</v>
      </c>
      <c r="H46" s="46">
        <f t="shared" ref="H46" si="145">+IFERROR(H45/G45-1,"nm")</f>
        <v>-0.10909090909090913</v>
      </c>
      <c r="I46" s="46">
        <f>+IFERROR(I45/H45-1,"nm")</f>
        <v>0.48979591836734704</v>
      </c>
      <c r="J46" s="46">
        <f t="shared" ref="J46" si="146">+IFERROR(J45/I45-1,"nm")</f>
        <v>6.9602969488317568E-2</v>
      </c>
      <c r="K46" s="46">
        <f t="shared" ref="K46" si="147">+IFERROR(K45/J45-1,"nm")</f>
        <v>7.1014731161939348E-2</v>
      </c>
      <c r="L46" s="46">
        <f t="shared" ref="L46" si="148">+IFERROR(L45/K45-1,"nm")</f>
        <v>7.2593980457038132E-2</v>
      </c>
      <c r="M46" s="46">
        <f t="shared" ref="M46" si="149">+IFERROR(M45/L45-1,"nm")</f>
        <v>7.4361979505361386E-2</v>
      </c>
      <c r="N46" s="46">
        <f t="shared" ref="N46" si="150">+IFERROR(N45/M45-1,"nm")</f>
        <v>7.6341693056724447E-2</v>
      </c>
    </row>
    <row r="47" spans="1:14" x14ac:dyDescent="0.3">
      <c r="A47" s="45" t="s">
        <v>133</v>
      </c>
      <c r="B47" s="46">
        <f t="shared" ref="B47:H47" si="151">+IFERROR(B45/B$21,"nm")</f>
        <v>1.5138282387190683E-2</v>
      </c>
      <c r="C47" s="46">
        <f t="shared" si="151"/>
        <v>1.6391221891086428E-2</v>
      </c>
      <c r="D47" s="46">
        <f t="shared" si="151"/>
        <v>1.4655625657202945E-2</v>
      </c>
      <c r="E47" s="46">
        <f t="shared" si="151"/>
        <v>1.3194210703466847E-2</v>
      </c>
      <c r="F47" s="46">
        <f t="shared" si="151"/>
        <v>7.3575650861526856E-3</v>
      </c>
      <c r="G47" s="46">
        <f t="shared" si="151"/>
        <v>7.5945871306268989E-3</v>
      </c>
      <c r="H47" s="46">
        <f t="shared" si="151"/>
        <v>5.7046393852960009E-3</v>
      </c>
      <c r="I47" s="46">
        <f>+IFERROR(I45/I$21,"nm")</f>
        <v>7.9551027080041418E-3</v>
      </c>
      <c r="J47" s="48">
        <f>+I47</f>
        <v>7.9551027080041418E-3</v>
      </c>
      <c r="K47" s="48">
        <f t="shared" ref="K47:N47" si="152">+J47</f>
        <v>7.9551027080041418E-3</v>
      </c>
      <c r="L47" s="48">
        <f t="shared" si="152"/>
        <v>7.9551027080041418E-3</v>
      </c>
      <c r="M47" s="48">
        <f t="shared" si="152"/>
        <v>7.9551027080041418E-3</v>
      </c>
      <c r="N47" s="48">
        <f t="shared" si="152"/>
        <v>7.9551027080041418E-3</v>
      </c>
    </row>
    <row r="48" spans="1:14" x14ac:dyDescent="0.3">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7">
        <f>+J21*J50</f>
        <v>683.47629750303474</v>
      </c>
      <c r="K48" s="47">
        <f t="shared" ref="K48:N48" si="153">+K21*K50</f>
        <v>732.01318302577056</v>
      </c>
      <c r="L48" s="47">
        <f t="shared" si="153"/>
        <v>785.15293372863766</v>
      </c>
      <c r="M48" s="47">
        <f t="shared" si="153"/>
        <v>843.53846009514086</v>
      </c>
      <c r="N48" s="47">
        <f t="shared" si="153"/>
        <v>907.93561429726617</v>
      </c>
    </row>
    <row r="49" spans="1:14" x14ac:dyDescent="0.3">
      <c r="A49" s="45" t="s">
        <v>129</v>
      </c>
      <c r="B49" s="46" t="str">
        <f t="shared" ref="B49" si="154">+IFERROR(B48/A48-1,"nm")</f>
        <v>nm</v>
      </c>
      <c r="C49" s="46">
        <f t="shared" ref="C49" si="155">+IFERROR(C48/B48-1,"nm")</f>
        <v>0.17405063291139244</v>
      </c>
      <c r="D49" s="46">
        <f t="shared" ref="D49" si="156">+IFERROR(D48/C48-1,"nm")</f>
        <v>0.10377358490566047</v>
      </c>
      <c r="E49" s="46">
        <f t="shared" ref="E49" si="157">+IFERROR(E48/D48-1,"nm")</f>
        <v>3.5409035409035505E-2</v>
      </c>
      <c r="F49" s="46">
        <f t="shared" ref="F49" si="158">+IFERROR(F48/E48-1,"nm")</f>
        <v>-4.0094339622641528E-2</v>
      </c>
      <c r="G49" s="46">
        <f t="shared" ref="G49" si="159">+IFERROR(G48/F48-1,"nm")</f>
        <v>-0.20761670761670759</v>
      </c>
      <c r="H49" s="46">
        <f t="shared" ref="H49" si="160">+IFERROR(H48/G48-1,"nm")</f>
        <v>-4.3410852713178349E-2</v>
      </c>
      <c r="I49" s="46">
        <f>+IFERROR(I48/H48-1,"nm")</f>
        <v>3.5656401944894611E-2</v>
      </c>
      <c r="J49" s="46">
        <f t="shared" ref="J49:N49" si="161">+IFERROR(J48/I48-1,"nm")</f>
        <v>6.9602969488317346E-2</v>
      </c>
      <c r="K49" s="46">
        <f t="shared" si="161"/>
        <v>7.101473116193957E-2</v>
      </c>
      <c r="L49" s="46">
        <f t="shared" si="161"/>
        <v>7.2593980457038132E-2</v>
      </c>
      <c r="M49" s="46">
        <f t="shared" si="161"/>
        <v>7.4361979505361164E-2</v>
      </c>
      <c r="N49" s="46">
        <f t="shared" si="161"/>
        <v>7.6341693056724447E-2</v>
      </c>
    </row>
    <row r="50" spans="1:14" x14ac:dyDescent="0.3">
      <c r="A50" s="45" t="s">
        <v>133</v>
      </c>
      <c r="B50" s="46">
        <f t="shared" ref="B50:H50" si="162">+IFERROR(B48/B$21,"nm")</f>
        <v>4.599708879184862E-2</v>
      </c>
      <c r="C50" s="46">
        <f t="shared" si="162"/>
        <v>5.0257382823083174E-2</v>
      </c>
      <c r="D50" s="46">
        <f t="shared" si="162"/>
        <v>5.3824921135646686E-2</v>
      </c>
      <c r="E50" s="46">
        <f t="shared" si="162"/>
        <v>5.7085156512958597E-2</v>
      </c>
      <c r="F50" s="46">
        <f t="shared" si="162"/>
        <v>5.1188529744686205E-2</v>
      </c>
      <c r="G50" s="46">
        <f t="shared" si="162"/>
        <v>4.4531897265948632E-2</v>
      </c>
      <c r="H50" s="46">
        <f t="shared" si="162"/>
        <v>3.5915943884975841E-2</v>
      </c>
      <c r="I50" s="46">
        <f>+IFERROR(I48/I$21,"nm")</f>
        <v>3.4817196098730456E-2</v>
      </c>
      <c r="J50" s="48">
        <f>+I50</f>
        <v>3.4817196098730456E-2</v>
      </c>
      <c r="K50" s="48">
        <f t="shared" ref="K50:N50" si="163">+J50</f>
        <v>3.4817196098730456E-2</v>
      </c>
      <c r="L50" s="48">
        <f t="shared" si="163"/>
        <v>3.4817196098730456E-2</v>
      </c>
      <c r="M50" s="48">
        <f t="shared" si="163"/>
        <v>3.4817196098730456E-2</v>
      </c>
      <c r="N50" s="48">
        <f t="shared" si="163"/>
        <v>3.4817196098730456E-2</v>
      </c>
    </row>
    <row r="51" spans="1:14" x14ac:dyDescent="0.3">
      <c r="A51" s="42" t="str">
        <f>+Historicals!A111</f>
        <v>Europe, Middle East &amp; Africa</v>
      </c>
      <c r="B51" s="42"/>
      <c r="C51" s="42"/>
      <c r="D51" s="42"/>
      <c r="E51" s="42"/>
      <c r="F51" s="42"/>
      <c r="G51" s="42"/>
      <c r="H51" s="42"/>
      <c r="I51" s="42"/>
      <c r="J51" s="38"/>
      <c r="K51" s="38"/>
      <c r="L51" s="38"/>
      <c r="M51" s="38"/>
      <c r="N51" s="38"/>
    </row>
    <row r="52" spans="1:14" x14ac:dyDescent="0.3">
      <c r="A52" s="9" t="s">
        <v>136</v>
      </c>
      <c r="B52" s="9">
        <f>+Historicals!B111</f>
        <v>7126</v>
      </c>
      <c r="C52" s="9">
        <f>+Historicals!C111</f>
        <v>7568</v>
      </c>
      <c r="D52" s="9">
        <f>+Historicals!D111</f>
        <v>7970</v>
      </c>
      <c r="E52" s="9">
        <f>+Historicals!E111</f>
        <v>9242</v>
      </c>
      <c r="F52" s="9">
        <f>+Historicals!F111</f>
        <v>9812</v>
      </c>
      <c r="G52" s="9">
        <f>+Historicals!G111</f>
        <v>9347</v>
      </c>
      <c r="H52" s="9">
        <f>+Historicals!H111</f>
        <v>11456</v>
      </c>
      <c r="I52" s="9">
        <f>+Historicals!I111</f>
        <v>12479</v>
      </c>
      <c r="J52" s="9">
        <f>+SUM(J54+J58+J62)</f>
        <v>13608.804326753774</v>
      </c>
      <c r="K52" s="9">
        <f t="shared" ref="K52:N52" si="164">+SUM(K54+K58+K62)</f>
        <v>14857.980395365705</v>
      </c>
      <c r="L52" s="9">
        <f t="shared" si="164"/>
        <v>16240.68661411307</v>
      </c>
      <c r="M52" s="9">
        <f t="shared" si="164"/>
        <v>17772.881849528436</v>
      </c>
      <c r="N52" s="9">
        <f t="shared" si="164"/>
        <v>19472.563029734389</v>
      </c>
    </row>
    <row r="53" spans="1:14" x14ac:dyDescent="0.3">
      <c r="A53" s="43" t="s">
        <v>129</v>
      </c>
      <c r="B53" s="46" t="str">
        <f t="shared" ref="B53" si="165">+IFERROR(B52/A52-1,"nm")</f>
        <v>nm</v>
      </c>
      <c r="C53" s="46">
        <f t="shared" ref="C53" si="166">+IFERROR(C52/B52-1,"nm")</f>
        <v>6.2026382262138746E-2</v>
      </c>
      <c r="D53" s="46">
        <f t="shared" ref="D53" si="167">+IFERROR(D52/C52-1,"nm")</f>
        <v>5.3118393234672379E-2</v>
      </c>
      <c r="E53" s="46">
        <f t="shared" ref="E53" si="168">+IFERROR(E52/D52-1,"nm")</f>
        <v>0.15959849435382689</v>
      </c>
      <c r="F53" s="46">
        <f t="shared" ref="F53" si="169">+IFERROR(F52/E52-1,"nm")</f>
        <v>6.1674962129409261E-2</v>
      </c>
      <c r="G53" s="46">
        <f t="shared" ref="G53" si="170">+IFERROR(G52/F52-1,"nm")</f>
        <v>-4.7390949857317621E-2</v>
      </c>
      <c r="H53" s="46">
        <f t="shared" ref="H53" si="171">+IFERROR(H52/G52-1,"nm")</f>
        <v>0.22563389322777372</v>
      </c>
      <c r="I53" s="46">
        <f t="shared" ref="I53" si="172">+IFERROR(I52/H52-1,"nm")</f>
        <v>8.9298184357541999E-2</v>
      </c>
      <c r="J53" s="46">
        <f t="shared" ref="J53" si="173">+IFERROR(J52/I52-1,"nm")</f>
        <v>9.0536447371886597E-2</v>
      </c>
      <c r="K53" s="46">
        <f t="shared" ref="K53" si="174">+IFERROR(K52/J52-1,"nm")</f>
        <v>9.1791757645905303E-2</v>
      </c>
      <c r="L53" s="46">
        <f t="shared" ref="L53" si="175">+IFERROR(L52/K52-1,"nm")</f>
        <v>9.3061518588262615E-2</v>
      </c>
      <c r="M53" s="46">
        <f t="shared" ref="M53" si="176">+IFERROR(M52/L52-1,"nm")</f>
        <v>9.4343008508266823E-2</v>
      </c>
      <c r="N53" s="46">
        <f t="shared" ref="N53" si="177">+IFERROR(N52/M52-1,"nm")</f>
        <v>9.5633403439918219E-2</v>
      </c>
    </row>
    <row r="54" spans="1:14" x14ac:dyDescent="0.3">
      <c r="A54" s="44" t="s">
        <v>113</v>
      </c>
      <c r="B54" s="3">
        <f>+Historicals!B112</f>
        <v>4703</v>
      </c>
      <c r="C54" s="3">
        <f>+Historicals!C112</f>
        <v>5043</v>
      </c>
      <c r="D54" s="3">
        <f>+Historicals!D112</f>
        <v>5192</v>
      </c>
      <c r="E54" s="3">
        <f>+Historicals!E112</f>
        <v>5875</v>
      </c>
      <c r="F54" s="3">
        <f>+Historicals!F112</f>
        <v>6293</v>
      </c>
      <c r="G54" s="3">
        <f>+Historicals!G112</f>
        <v>5892</v>
      </c>
      <c r="H54" s="3">
        <f>+Historicals!H112</f>
        <v>6970</v>
      </c>
      <c r="I54" s="3">
        <f>+Historicals!I112</f>
        <v>7388</v>
      </c>
      <c r="J54" s="3">
        <f>+I54*(1+J55)</f>
        <v>7831.0680057388818</v>
      </c>
      <c r="K54" s="3">
        <f t="shared" ref="K54" si="178">+J54*(1+K55)</f>
        <v>8300.707378249479</v>
      </c>
      <c r="L54" s="3">
        <f t="shared" ref="L54" si="179">+K54*(1+L55)</f>
        <v>8798.5116370885444</v>
      </c>
      <c r="M54" s="3">
        <f t="shared" ref="M54" si="180">+L54*(1+M55)</f>
        <v>9326.1698672611437</v>
      </c>
      <c r="N54" s="3">
        <f t="shared" ref="N54" si="181">+M54*(1+N55)</f>
        <v>9885.4724504053556</v>
      </c>
    </row>
    <row r="55" spans="1:14" x14ac:dyDescent="0.3">
      <c r="A55" s="43" t="s">
        <v>129</v>
      </c>
      <c r="B55" s="46" t="str">
        <f t="shared" ref="B55" si="182">+IFERROR(B54/A54-1,"nm")</f>
        <v>nm</v>
      </c>
      <c r="C55" s="46">
        <f t="shared" ref="C55" si="183">+IFERROR(C54/B54-1,"nm")</f>
        <v>7.2294280246651077E-2</v>
      </c>
      <c r="D55" s="46">
        <f t="shared" ref="D55" si="184">+IFERROR(D54/C54-1,"nm")</f>
        <v>2.9545905215149659E-2</v>
      </c>
      <c r="E55" s="46">
        <f t="shared" ref="E55" si="185">+IFERROR(E54/D54-1,"nm")</f>
        <v>0.1315485362095532</v>
      </c>
      <c r="F55" s="46">
        <f t="shared" ref="F55" si="186">+IFERROR(F54/E54-1,"nm")</f>
        <v>7.1148936170212673E-2</v>
      </c>
      <c r="G55" s="46">
        <f t="shared" ref="G55" si="187">+IFERROR(G54/F54-1,"nm")</f>
        <v>-6.3721595423486432E-2</v>
      </c>
      <c r="H55" s="46">
        <f t="shared" ref="H55" si="188">+IFERROR(H54/G54-1,"nm")</f>
        <v>0.18295994568907004</v>
      </c>
      <c r="I55" s="46">
        <f t="shared" ref="I55" si="189">+IFERROR(I54/H54-1,"nm")</f>
        <v>5.9971305595408975E-2</v>
      </c>
      <c r="J55" s="46">
        <f>+J56+J57</f>
        <v>5.9971305595408975E-2</v>
      </c>
      <c r="K55" s="46">
        <f t="shared" ref="K55:N55" si="190">+K56+K57</f>
        <v>5.9971305595408975E-2</v>
      </c>
      <c r="L55" s="46">
        <f t="shared" si="190"/>
        <v>5.9971305595408975E-2</v>
      </c>
      <c r="M55" s="46">
        <f t="shared" si="190"/>
        <v>5.9971305595408975E-2</v>
      </c>
      <c r="N55" s="46">
        <f t="shared" si="190"/>
        <v>5.9971305595408975E-2</v>
      </c>
    </row>
    <row r="56" spans="1:14" x14ac:dyDescent="0.3">
      <c r="A56" s="43" t="s">
        <v>137</v>
      </c>
      <c r="B56" s="46" t="str">
        <f>+Historicals!B184</f>
        <v>nm</v>
      </c>
      <c r="C56" s="46">
        <f>+Historicals!C184</f>
        <v>7.2294280246651077E-2</v>
      </c>
      <c r="D56" s="46">
        <f>+Historicals!D184</f>
        <v>2.9545905215149659E-2</v>
      </c>
      <c r="E56" s="46">
        <f>+Historicals!E184</f>
        <v>0.1315485362095532</v>
      </c>
      <c r="F56" s="46">
        <f>+Historicals!F184</f>
        <v>7.1148936170212673E-2</v>
      </c>
      <c r="G56" s="46">
        <f>+Historicals!G184</f>
        <v>-6.3721595423486432E-2</v>
      </c>
      <c r="H56" s="46">
        <f>+Historicals!H184</f>
        <v>0.18295994568907004</v>
      </c>
      <c r="I56" s="46">
        <f>+Historicals!I184</f>
        <v>5.9971305595408975E-2</v>
      </c>
      <c r="J56" s="75">
        <f>I56</f>
        <v>5.9971305595408975E-2</v>
      </c>
      <c r="K56" s="75">
        <f t="shared" ref="K56:N56" si="191">J56</f>
        <v>5.9971305595408975E-2</v>
      </c>
      <c r="L56" s="75">
        <f t="shared" si="191"/>
        <v>5.9971305595408975E-2</v>
      </c>
      <c r="M56" s="75">
        <f t="shared" si="191"/>
        <v>5.9971305595408975E-2</v>
      </c>
      <c r="N56" s="75">
        <f t="shared" si="191"/>
        <v>5.9971305595408975E-2</v>
      </c>
    </row>
    <row r="57" spans="1:14" x14ac:dyDescent="0.3">
      <c r="A57" s="43" t="s">
        <v>138</v>
      </c>
      <c r="B57" s="46" t="str">
        <f t="shared" ref="B57" si="192">+IFERROR(B55-B56,"nm")</f>
        <v>nm</v>
      </c>
      <c r="C57" s="46">
        <f t="shared" ref="C57:I57" si="193">+IFERROR(C55-C56,"nm")</f>
        <v>0</v>
      </c>
      <c r="D57" s="46">
        <f t="shared" si="193"/>
        <v>0</v>
      </c>
      <c r="E57" s="46">
        <f t="shared" si="193"/>
        <v>0</v>
      </c>
      <c r="F57" s="46">
        <f t="shared" si="193"/>
        <v>0</v>
      </c>
      <c r="G57" s="46">
        <f t="shared" si="193"/>
        <v>0</v>
      </c>
      <c r="H57" s="46">
        <f t="shared" si="193"/>
        <v>0</v>
      </c>
      <c r="I57" s="46">
        <f t="shared" si="193"/>
        <v>0</v>
      </c>
      <c r="J57" s="48">
        <v>0</v>
      </c>
      <c r="K57" s="48">
        <f t="shared" ref="K57" si="194">+J57</f>
        <v>0</v>
      </c>
      <c r="L57" s="48">
        <f t="shared" ref="L57" si="195">+K57</f>
        <v>0</v>
      </c>
      <c r="M57" s="48">
        <f t="shared" ref="M57" si="196">+L57</f>
        <v>0</v>
      </c>
      <c r="N57" s="48">
        <f t="shared" ref="N57" si="197">+M57</f>
        <v>0</v>
      </c>
    </row>
    <row r="58" spans="1:14" x14ac:dyDescent="0.3">
      <c r="A58" s="44" t="s">
        <v>114</v>
      </c>
      <c r="B58" s="3">
        <f>+Historicals!B113</f>
        <v>2051</v>
      </c>
      <c r="C58" s="3">
        <f>+Historicals!C113</f>
        <v>2149</v>
      </c>
      <c r="D58" s="3">
        <f>+Historicals!D113</f>
        <v>2395</v>
      </c>
      <c r="E58" s="3">
        <f>+Historicals!E113</f>
        <v>2940</v>
      </c>
      <c r="F58" s="3">
        <f>+Historicals!F113</f>
        <v>3087</v>
      </c>
      <c r="G58" s="3">
        <f>+Historicals!G113</f>
        <v>3053</v>
      </c>
      <c r="H58" s="3">
        <f>+Historicals!H113</f>
        <v>3996</v>
      </c>
      <c r="I58" s="3">
        <f>+Historicals!I113</f>
        <v>4527</v>
      </c>
      <c r="J58" s="3">
        <f>+I58*(1+J59)</f>
        <v>5128.5608108108108</v>
      </c>
      <c r="K58" s="3">
        <f t="shared" ref="K58" si="198">+J58*(1+K59)</f>
        <v>5810.0587563915269</v>
      </c>
      <c r="L58" s="3">
        <f t="shared" ref="L58" si="199">+K58*(1+L59)</f>
        <v>6582.1161136597711</v>
      </c>
      <c r="M58" s="3">
        <f t="shared" ref="M58" si="200">+L58*(1+M59)</f>
        <v>7456.7666783127597</v>
      </c>
      <c r="N58" s="3">
        <f t="shared" ref="N58" si="201">+M58*(1+N59)</f>
        <v>8447.6433315119793</v>
      </c>
    </row>
    <row r="59" spans="1:14" x14ac:dyDescent="0.3">
      <c r="A59" s="43" t="s">
        <v>129</v>
      </c>
      <c r="B59" s="46" t="str">
        <f t="shared" ref="B59" si="202">+IFERROR(B58/A58-1,"nm")</f>
        <v>nm</v>
      </c>
      <c r="C59" s="46">
        <f t="shared" ref="C59" si="203">+IFERROR(C58/B58-1,"nm")</f>
        <v>4.7781569965870352E-2</v>
      </c>
      <c r="D59" s="46">
        <f t="shared" ref="D59" si="204">+IFERROR(D58/C58-1,"nm")</f>
        <v>0.11447184737087013</v>
      </c>
      <c r="E59" s="46">
        <f t="shared" ref="E59" si="205">+IFERROR(E58/D58-1,"nm")</f>
        <v>0.22755741127348639</v>
      </c>
      <c r="F59" s="46">
        <f t="shared" ref="F59" si="206">+IFERROR(F58/E58-1,"nm")</f>
        <v>5.0000000000000044E-2</v>
      </c>
      <c r="G59" s="46">
        <f t="shared" ref="G59" si="207">+IFERROR(G58/F58-1,"nm")</f>
        <v>-1.1013929381276322E-2</v>
      </c>
      <c r="H59" s="46">
        <f t="shared" ref="H59" si="208">+IFERROR(H58/G58-1,"nm")</f>
        <v>0.30887651490337364</v>
      </c>
      <c r="I59" s="46">
        <f t="shared" ref="I59" si="209">+IFERROR(I58/H58-1,"nm")</f>
        <v>0.13288288288288297</v>
      </c>
      <c r="J59" s="46">
        <f>+J60+J61</f>
        <v>0.13288288288288297</v>
      </c>
      <c r="K59" s="46">
        <f t="shared" ref="K59:N59" si="210">+K60+K61</f>
        <v>0.13288288288288297</v>
      </c>
      <c r="L59" s="46">
        <f t="shared" si="210"/>
        <v>0.13288288288288297</v>
      </c>
      <c r="M59" s="46">
        <f t="shared" si="210"/>
        <v>0.13288288288288297</v>
      </c>
      <c r="N59" s="46">
        <f t="shared" si="210"/>
        <v>0.13288288288288297</v>
      </c>
    </row>
    <row r="60" spans="1:14" x14ac:dyDescent="0.3">
      <c r="A60" s="43" t="s">
        <v>137</v>
      </c>
      <c r="B60" s="46" t="str">
        <f>+Historicals!B185</f>
        <v>nm</v>
      </c>
      <c r="C60" s="46">
        <f>+Historicals!C185</f>
        <v>4.7781569965870352E-2</v>
      </c>
      <c r="D60" s="46">
        <f>+Historicals!D185</f>
        <v>0.11447184737087013</v>
      </c>
      <c r="E60" s="46">
        <f>+Historicals!E185</f>
        <v>0.22755741127348639</v>
      </c>
      <c r="F60" s="46">
        <f>+Historicals!F185</f>
        <v>5.0000000000000044E-2</v>
      </c>
      <c r="G60" s="46">
        <f>+Historicals!G185</f>
        <v>-1.1013929381276322E-2</v>
      </c>
      <c r="H60" s="46">
        <f>+Historicals!H185</f>
        <v>0.30887651490337364</v>
      </c>
      <c r="I60" s="46">
        <f>+Historicals!I185</f>
        <v>0.13288288288288297</v>
      </c>
      <c r="J60" s="75">
        <f>I60</f>
        <v>0.13288288288288297</v>
      </c>
      <c r="K60" s="75">
        <f t="shared" ref="K60:N60" si="211">J60</f>
        <v>0.13288288288288297</v>
      </c>
      <c r="L60" s="75">
        <f t="shared" si="211"/>
        <v>0.13288288288288297</v>
      </c>
      <c r="M60" s="75">
        <f t="shared" si="211"/>
        <v>0.13288288288288297</v>
      </c>
      <c r="N60" s="75">
        <f t="shared" si="211"/>
        <v>0.13288288288288297</v>
      </c>
    </row>
    <row r="61" spans="1:14" x14ac:dyDescent="0.3">
      <c r="A61" s="43" t="s">
        <v>138</v>
      </c>
      <c r="B61" s="46" t="str">
        <f t="shared" ref="B61" si="212">+IFERROR(B59-B60,"nm")</f>
        <v>nm</v>
      </c>
      <c r="C61" s="46">
        <f t="shared" ref="C61:I61" si="213">+IFERROR(C59-C60,"nm")</f>
        <v>0</v>
      </c>
      <c r="D61" s="46">
        <f t="shared" si="213"/>
        <v>0</v>
      </c>
      <c r="E61" s="46">
        <f t="shared" si="213"/>
        <v>0</v>
      </c>
      <c r="F61" s="46">
        <f t="shared" si="213"/>
        <v>0</v>
      </c>
      <c r="G61" s="46">
        <f t="shared" si="213"/>
        <v>0</v>
      </c>
      <c r="H61" s="46">
        <f t="shared" si="213"/>
        <v>0</v>
      </c>
      <c r="I61" s="46">
        <f t="shared" si="213"/>
        <v>0</v>
      </c>
      <c r="J61" s="48">
        <v>0</v>
      </c>
      <c r="K61" s="48">
        <f t="shared" ref="K61" si="214">+J61</f>
        <v>0</v>
      </c>
      <c r="L61" s="48">
        <f t="shared" ref="L61" si="215">+K61</f>
        <v>0</v>
      </c>
      <c r="M61" s="48">
        <f t="shared" ref="M61" si="216">+L61</f>
        <v>0</v>
      </c>
      <c r="N61" s="48">
        <f t="shared" ref="N61" si="217">+M61</f>
        <v>0</v>
      </c>
    </row>
    <row r="62" spans="1:14" x14ac:dyDescent="0.3">
      <c r="A62" s="44" t="s">
        <v>115</v>
      </c>
      <c r="B62" s="3">
        <f>+Historicals!B114</f>
        <v>372</v>
      </c>
      <c r="C62" s="3">
        <f>+Historicals!C114</f>
        <v>376</v>
      </c>
      <c r="D62" s="3">
        <f>+Historicals!D114</f>
        <v>383</v>
      </c>
      <c r="E62" s="3">
        <f>+Historicals!E114</f>
        <v>427</v>
      </c>
      <c r="F62" s="3">
        <f>+Historicals!F114</f>
        <v>432</v>
      </c>
      <c r="G62" s="3">
        <f>+Historicals!G114</f>
        <v>402</v>
      </c>
      <c r="H62" s="3">
        <f>+Historicals!H114</f>
        <v>490</v>
      </c>
      <c r="I62" s="3">
        <f>+Historicals!I114</f>
        <v>564</v>
      </c>
      <c r="J62" s="3">
        <f>+I62*(1+J63)</f>
        <v>649.17551020408166</v>
      </c>
      <c r="K62" s="3">
        <f t="shared" ref="K62" si="218">+J62*(1+K63)</f>
        <v>747.21426072469808</v>
      </c>
      <c r="L62" s="3">
        <f t="shared" ref="L62" si="219">+K62*(1+L63)</f>
        <v>860.05886336475453</v>
      </c>
      <c r="M62" s="3">
        <f t="shared" ref="M62" si="220">+L62*(1+M63)</f>
        <v>989.94530395453387</v>
      </c>
      <c r="N62" s="3">
        <f t="shared" ref="N62" si="221">+M62*(1+N63)</f>
        <v>1139.4472478170553</v>
      </c>
    </row>
    <row r="63" spans="1:14" x14ac:dyDescent="0.3">
      <c r="A63" s="43" t="s">
        <v>129</v>
      </c>
      <c r="B63" s="46" t="str">
        <f t="shared" ref="B63" si="222">+IFERROR(B62/A62-1,"nm")</f>
        <v>nm</v>
      </c>
      <c r="C63" s="46">
        <f t="shared" ref="C63" si="223">+IFERROR(C62/B62-1,"nm")</f>
        <v>1.0752688172043001E-2</v>
      </c>
      <c r="D63" s="46">
        <f t="shared" ref="D63" si="224">+IFERROR(D62/C62-1,"nm")</f>
        <v>1.8617021276595702E-2</v>
      </c>
      <c r="E63" s="46">
        <f t="shared" ref="E63" si="225">+IFERROR(E62/D62-1,"nm")</f>
        <v>0.11488250652741505</v>
      </c>
      <c r="F63" s="46">
        <f t="shared" ref="F63" si="226">+IFERROR(F62/E62-1,"nm")</f>
        <v>1.1709601873536313E-2</v>
      </c>
      <c r="G63" s="46">
        <f t="shared" ref="G63" si="227">+IFERROR(G62/F62-1,"nm")</f>
        <v>-6.944444444444442E-2</v>
      </c>
      <c r="H63" s="46">
        <f t="shared" ref="H63" si="228">+IFERROR(H62/G62-1,"nm")</f>
        <v>0.21890547263681581</v>
      </c>
      <c r="I63" s="46">
        <f t="shared" ref="I63" si="229">+IFERROR(I62/H62-1,"nm")</f>
        <v>0.15102040816326534</v>
      </c>
      <c r="J63" s="46">
        <f>+J64+J65</f>
        <v>0.15102040816326534</v>
      </c>
      <c r="K63" s="46">
        <f t="shared" ref="K63:N63" si="230">+K64+K65</f>
        <v>0.15102040816326534</v>
      </c>
      <c r="L63" s="46">
        <f t="shared" si="230"/>
        <v>0.15102040816326534</v>
      </c>
      <c r="M63" s="46">
        <f t="shared" si="230"/>
        <v>0.15102040816326534</v>
      </c>
      <c r="N63" s="46">
        <f t="shared" si="230"/>
        <v>0.15102040816326534</v>
      </c>
    </row>
    <row r="64" spans="1:14" x14ac:dyDescent="0.3">
      <c r="A64" s="43" t="s">
        <v>137</v>
      </c>
      <c r="B64" s="46" t="str">
        <f>+Historicals!B186</f>
        <v>nm</v>
      </c>
      <c r="C64" s="46">
        <f>+Historicals!C186</f>
        <v>1.0752688172043001E-2</v>
      </c>
      <c r="D64" s="46">
        <f>+Historicals!D186</f>
        <v>1.8617021276595702E-2</v>
      </c>
      <c r="E64" s="46">
        <f>+Historicals!E186</f>
        <v>0.11488250652741505</v>
      </c>
      <c r="F64" s="46">
        <f>+Historicals!F186</f>
        <v>1.1709601873536313E-2</v>
      </c>
      <c r="G64" s="46">
        <f>+Historicals!G186</f>
        <v>-6.944444444444442E-2</v>
      </c>
      <c r="H64" s="46">
        <f>+Historicals!H186</f>
        <v>0.21890547263681581</v>
      </c>
      <c r="I64" s="46">
        <f>+Historicals!I186</f>
        <v>0.15102040816326534</v>
      </c>
      <c r="J64" s="75">
        <f>I64</f>
        <v>0.15102040816326534</v>
      </c>
      <c r="K64" s="75">
        <f t="shared" ref="K64:K65" si="231">+J64</f>
        <v>0.15102040816326534</v>
      </c>
      <c r="L64" s="75">
        <f t="shared" ref="L64:L65" si="232">+K64</f>
        <v>0.15102040816326534</v>
      </c>
      <c r="M64" s="75">
        <f t="shared" ref="M64:M65" si="233">+L64</f>
        <v>0.15102040816326534</v>
      </c>
      <c r="N64" s="75">
        <f t="shared" ref="N64:N65" si="234">+M64</f>
        <v>0.15102040816326534</v>
      </c>
    </row>
    <row r="65" spans="1:14" x14ac:dyDescent="0.3">
      <c r="A65" s="43" t="s">
        <v>138</v>
      </c>
      <c r="B65" s="46" t="str">
        <f t="shared" ref="B65" si="235">+IFERROR(B63-B64,"nm")</f>
        <v>nm</v>
      </c>
      <c r="C65" s="46">
        <f t="shared" ref="C65:I65" si="236">+IFERROR(C63-C64,"nm")</f>
        <v>0</v>
      </c>
      <c r="D65" s="46">
        <f t="shared" si="236"/>
        <v>0</v>
      </c>
      <c r="E65" s="46">
        <f t="shared" si="236"/>
        <v>0</v>
      </c>
      <c r="F65" s="46">
        <f t="shared" si="236"/>
        <v>0</v>
      </c>
      <c r="G65" s="46">
        <f t="shared" si="236"/>
        <v>0</v>
      </c>
      <c r="H65" s="46">
        <f t="shared" si="236"/>
        <v>0</v>
      </c>
      <c r="I65" s="46">
        <f t="shared" si="236"/>
        <v>0</v>
      </c>
      <c r="J65" s="48">
        <v>0</v>
      </c>
      <c r="K65" s="48">
        <f t="shared" si="231"/>
        <v>0</v>
      </c>
      <c r="L65" s="48">
        <f t="shared" si="232"/>
        <v>0</v>
      </c>
      <c r="M65" s="48">
        <f t="shared" si="233"/>
        <v>0</v>
      </c>
      <c r="N65" s="48">
        <f t="shared" si="234"/>
        <v>0</v>
      </c>
    </row>
    <row r="66" spans="1:14" x14ac:dyDescent="0.3">
      <c r="A66" s="9" t="s">
        <v>130</v>
      </c>
      <c r="B66" s="47">
        <f t="shared" ref="B66" si="237">+B73+B69</f>
        <v>1611</v>
      </c>
      <c r="C66" s="47">
        <f t="shared" ref="C66:I66" si="238">+C73+C69</f>
        <v>1871</v>
      </c>
      <c r="D66" s="47">
        <f t="shared" si="238"/>
        <v>1611</v>
      </c>
      <c r="E66" s="47">
        <f t="shared" si="238"/>
        <v>1703</v>
      </c>
      <c r="F66" s="47">
        <f t="shared" si="238"/>
        <v>2106</v>
      </c>
      <c r="G66" s="47">
        <f t="shared" si="238"/>
        <v>1673</v>
      </c>
      <c r="H66" s="47">
        <f t="shared" si="238"/>
        <v>2571</v>
      </c>
      <c r="I66" s="47">
        <f t="shared" si="238"/>
        <v>3427</v>
      </c>
      <c r="J66" s="47">
        <f>+J52*J68</f>
        <v>3737.2684051434558</v>
      </c>
      <c r="K66" s="47">
        <f t="shared" ref="K66:N66" si="239">+K52*K68</f>
        <v>4080.3188408460833</v>
      </c>
      <c r="L66" s="47">
        <f t="shared" si="239"/>
        <v>4460.0395084995189</v>
      </c>
      <c r="M66" s="47">
        <f t="shared" si="239"/>
        <v>4880.8130537970956</v>
      </c>
      <c r="N66" s="47">
        <f t="shared" si="239"/>
        <v>5347.5818176856919</v>
      </c>
    </row>
    <row r="67" spans="1:14" x14ac:dyDescent="0.3">
      <c r="A67" s="45" t="s">
        <v>129</v>
      </c>
      <c r="B67" s="46" t="str">
        <f t="shared" ref="B67" si="240">+IFERROR(B66/A66-1,"nm")</f>
        <v>nm</v>
      </c>
      <c r="C67" s="46">
        <f t="shared" ref="C67" si="241">+IFERROR(C66/B66-1,"nm")</f>
        <v>0.16139044072004971</v>
      </c>
      <c r="D67" s="46">
        <f t="shared" ref="D67" si="242">+IFERROR(D66/C66-1,"nm")</f>
        <v>-0.13896312132549438</v>
      </c>
      <c r="E67" s="46">
        <f t="shared" ref="E67" si="243">+IFERROR(E66/D66-1,"nm")</f>
        <v>5.7107386716325204E-2</v>
      </c>
      <c r="F67" s="46">
        <f t="shared" ref="F67" si="244">+IFERROR(F66/E66-1,"nm")</f>
        <v>0.23664122137404586</v>
      </c>
      <c r="G67" s="46">
        <f t="shared" ref="G67" si="245">+IFERROR(G66/F66-1,"nm")</f>
        <v>-0.20560303893637222</v>
      </c>
      <c r="H67" s="46">
        <f t="shared" ref="H67" si="246">+IFERROR(H66/G66-1,"nm")</f>
        <v>0.53676031081888831</v>
      </c>
      <c r="I67" s="46">
        <f t="shared" ref="I67" si="247">+IFERROR(I66/H66-1,"nm")</f>
        <v>0.33294437961882539</v>
      </c>
      <c r="J67" s="46">
        <f t="shared" ref="J67" si="248">+IFERROR(J66/I66-1,"nm")</f>
        <v>9.0536447371886819E-2</v>
      </c>
      <c r="K67" s="46">
        <f t="shared" ref="K67" si="249">+IFERROR(K66/J66-1,"nm")</f>
        <v>9.1791757645905303E-2</v>
      </c>
      <c r="L67" s="46">
        <f t="shared" ref="L67" si="250">+IFERROR(L66/K66-1,"nm")</f>
        <v>9.3061518588262615E-2</v>
      </c>
      <c r="M67" s="46">
        <f t="shared" ref="M67" si="251">+IFERROR(M66/L66-1,"nm")</f>
        <v>9.4343008508266823E-2</v>
      </c>
      <c r="N67" s="46">
        <f t="shared" ref="N67" si="252">+IFERROR(N66/M66-1,"nm")</f>
        <v>9.5633403439918219E-2</v>
      </c>
    </row>
    <row r="68" spans="1:14" x14ac:dyDescent="0.3">
      <c r="A68" s="45" t="s">
        <v>131</v>
      </c>
      <c r="B68" s="46">
        <f>+IFERROR(B66/B$52,"nm")</f>
        <v>0.22607353353915241</v>
      </c>
      <c r="C68" s="46">
        <f t="shared" ref="C68:I68" si="253">+IFERROR(C66/C$52,"nm")</f>
        <v>0.24722515856236787</v>
      </c>
      <c r="D68" s="46">
        <f t="shared" si="253"/>
        <v>0.20213299874529486</v>
      </c>
      <c r="E68" s="46">
        <f t="shared" si="253"/>
        <v>0.18426747457260334</v>
      </c>
      <c r="F68" s="46">
        <f t="shared" si="253"/>
        <v>0.21463514064410924</v>
      </c>
      <c r="G68" s="46">
        <f t="shared" si="253"/>
        <v>0.17898791055953783</v>
      </c>
      <c r="H68" s="46">
        <f t="shared" si="253"/>
        <v>0.22442388268156424</v>
      </c>
      <c r="I68" s="46">
        <f t="shared" si="253"/>
        <v>0.27462136389133746</v>
      </c>
      <c r="J68" s="48">
        <f>+I68</f>
        <v>0.27462136389133746</v>
      </c>
      <c r="K68" s="48">
        <f t="shared" ref="K68" si="254">+J68</f>
        <v>0.27462136389133746</v>
      </c>
      <c r="L68" s="48">
        <f t="shared" ref="L68" si="255">+K68</f>
        <v>0.27462136389133746</v>
      </c>
      <c r="M68" s="48">
        <f t="shared" ref="M68" si="256">+L68</f>
        <v>0.27462136389133746</v>
      </c>
      <c r="N68" s="48">
        <f t="shared" ref="N68" si="257">+M68</f>
        <v>0.27462136389133746</v>
      </c>
    </row>
    <row r="69" spans="1:14" x14ac:dyDescent="0.3">
      <c r="A69" s="9" t="s">
        <v>132</v>
      </c>
      <c r="B69" s="9">
        <f>+Historicals!B168</f>
        <v>87</v>
      </c>
      <c r="C69" s="9">
        <f>+Historicals!C168</f>
        <v>84</v>
      </c>
      <c r="D69" s="9">
        <f>+Historicals!D168</f>
        <v>104</v>
      </c>
      <c r="E69" s="9">
        <f>+Historicals!E168</f>
        <v>116</v>
      </c>
      <c r="F69" s="9">
        <f>+Historicals!F168</f>
        <v>111</v>
      </c>
      <c r="G69" s="9">
        <f>+Historicals!G168</f>
        <v>132</v>
      </c>
      <c r="H69" s="9">
        <f>+Historicals!H168</f>
        <v>136</v>
      </c>
      <c r="I69" s="9">
        <f>+Historicals!I168</f>
        <v>134</v>
      </c>
      <c r="J69" s="47">
        <f>+J72*J79</f>
        <v>146.13188394783282</v>
      </c>
      <c r="K69" s="47">
        <f t="shared" ref="K69:N69" si="258">+K72*K79</f>
        <v>159.54558642351185</v>
      </c>
      <c r="L69" s="47">
        <f t="shared" si="258"/>
        <v>174.39314098013875</v>
      </c>
      <c r="M69" s="47">
        <f t="shared" si="258"/>
        <v>190.84591456341138</v>
      </c>
      <c r="N69" s="47">
        <f t="shared" si="258"/>
        <v>209.09715890571422</v>
      </c>
    </row>
    <row r="70" spans="1:14" x14ac:dyDescent="0.3">
      <c r="A70" s="45" t="s">
        <v>129</v>
      </c>
      <c r="B70" s="46" t="str">
        <f t="shared" ref="B70" si="259">+IFERROR(B69/A69-1,"nm")</f>
        <v>nm</v>
      </c>
      <c r="C70" s="46">
        <f t="shared" ref="C70" si="260">+IFERROR(C69/B69-1,"nm")</f>
        <v>-3.4482758620689613E-2</v>
      </c>
      <c r="D70" s="46">
        <f t="shared" ref="D70" si="261">+IFERROR(D69/C69-1,"nm")</f>
        <v>0.23809523809523814</v>
      </c>
      <c r="E70" s="46">
        <f t="shared" ref="E70" si="262">+IFERROR(E69/D69-1,"nm")</f>
        <v>0.11538461538461542</v>
      </c>
      <c r="F70" s="46">
        <f t="shared" ref="F70" si="263">+IFERROR(F69/E69-1,"nm")</f>
        <v>-4.31034482758621E-2</v>
      </c>
      <c r="G70" s="46">
        <f t="shared" ref="G70" si="264">+IFERROR(G69/F69-1,"nm")</f>
        <v>0.18918918918918926</v>
      </c>
      <c r="H70" s="46">
        <f t="shared" ref="H70" si="265">+IFERROR(H69/G69-1,"nm")</f>
        <v>3.0303030303030276E-2</v>
      </c>
      <c r="I70" s="46">
        <f t="shared" ref="I70" si="266">+IFERROR(I69/H69-1,"nm")</f>
        <v>-1.4705882352941124E-2</v>
      </c>
      <c r="J70" s="46">
        <f t="shared" ref="J70" si="267">+IFERROR(J69/I69-1,"nm")</f>
        <v>9.0536447371886597E-2</v>
      </c>
      <c r="K70" s="46">
        <f t="shared" ref="K70" si="268">+IFERROR(K69/J69-1,"nm")</f>
        <v>9.1791757645905303E-2</v>
      </c>
      <c r="L70" s="46">
        <f t="shared" ref="L70" si="269">+IFERROR(L69/K69-1,"nm")</f>
        <v>9.3061518588262615E-2</v>
      </c>
      <c r="M70" s="46">
        <f t="shared" ref="M70" si="270">+IFERROR(M69/L69-1,"nm")</f>
        <v>9.4343008508267046E-2</v>
      </c>
      <c r="N70" s="46">
        <f t="shared" ref="N70" si="271">+IFERROR(N69/M69-1,"nm")</f>
        <v>9.5633403439917997E-2</v>
      </c>
    </row>
    <row r="71" spans="1:14" x14ac:dyDescent="0.3">
      <c r="A71" s="45" t="s">
        <v>133</v>
      </c>
      <c r="B71" s="46">
        <f>+IFERROR(B69/B$52,"nm")</f>
        <v>1.2208812798203761E-2</v>
      </c>
      <c r="C71" s="46">
        <f t="shared" ref="C71:N71" si="272">+IFERROR(C69/C$52,"nm")</f>
        <v>1.1099365750528542E-2</v>
      </c>
      <c r="D71" s="46">
        <f t="shared" si="272"/>
        <v>1.3048933500627352E-2</v>
      </c>
      <c r="E71" s="46">
        <f t="shared" si="272"/>
        <v>1.2551395801774508E-2</v>
      </c>
      <c r="F71" s="46">
        <f t="shared" si="272"/>
        <v>1.1312678353037097E-2</v>
      </c>
      <c r="G71" s="46">
        <f t="shared" si="272"/>
        <v>1.4122178239007167E-2</v>
      </c>
      <c r="H71" s="46">
        <f t="shared" si="272"/>
        <v>1.1871508379888268E-2</v>
      </c>
      <c r="I71" s="46">
        <f t="shared" si="272"/>
        <v>1.0738039907043834E-2</v>
      </c>
      <c r="J71" s="46">
        <f t="shared" si="272"/>
        <v>1.0738039907043834E-2</v>
      </c>
      <c r="K71" s="46">
        <f t="shared" si="272"/>
        <v>1.0738039907043834E-2</v>
      </c>
      <c r="L71" s="46">
        <f t="shared" si="272"/>
        <v>1.0738039907043834E-2</v>
      </c>
      <c r="M71" s="46">
        <f t="shared" si="272"/>
        <v>1.0738039907043835E-2</v>
      </c>
      <c r="N71" s="46">
        <f t="shared" si="272"/>
        <v>1.0738039907043832E-2</v>
      </c>
    </row>
    <row r="72" spans="1:14" x14ac:dyDescent="0.3">
      <c r="A72" s="45" t="s">
        <v>140</v>
      </c>
      <c r="B72" s="46">
        <f t="shared" ref="B72" si="273">+IFERROR(B69/B79,"nm")</f>
        <v>0.1746987951807229</v>
      </c>
      <c r="C72" s="46">
        <f t="shared" ref="C72:I72" si="274">+IFERROR(C69/C79,"nm")</f>
        <v>0.13145539906103287</v>
      </c>
      <c r="D72" s="46">
        <f t="shared" si="274"/>
        <v>0.1466854724964739</v>
      </c>
      <c r="E72" s="46">
        <f t="shared" si="274"/>
        <v>0.13663133097762073</v>
      </c>
      <c r="F72" s="46">
        <f t="shared" si="274"/>
        <v>0.11948331539289558</v>
      </c>
      <c r="G72" s="46">
        <f t="shared" si="274"/>
        <v>0.14915254237288136</v>
      </c>
      <c r="H72" s="46">
        <f t="shared" si="274"/>
        <v>0.1384928716904277</v>
      </c>
      <c r="I72" s="46">
        <f t="shared" si="274"/>
        <v>0.14565217391304347</v>
      </c>
      <c r="J72" s="48">
        <f>+I72</f>
        <v>0.14565217391304347</v>
      </c>
      <c r="K72" s="48">
        <f t="shared" ref="K72" si="275">+J72</f>
        <v>0.14565217391304347</v>
      </c>
      <c r="L72" s="48">
        <f t="shared" ref="L72" si="276">+K72</f>
        <v>0.14565217391304347</v>
      </c>
      <c r="M72" s="48">
        <f t="shared" ref="M72" si="277">+L72</f>
        <v>0.14565217391304347</v>
      </c>
      <c r="N72" s="48">
        <f t="shared" ref="N72" si="278">+M72</f>
        <v>0.14565217391304347</v>
      </c>
    </row>
    <row r="73" spans="1:14" x14ac:dyDescent="0.3">
      <c r="A73" s="9" t="s">
        <v>134</v>
      </c>
      <c r="B73" s="9">
        <f>Historicals!B135</f>
        <v>1524</v>
      </c>
      <c r="C73" s="9">
        <f>Historicals!C135</f>
        <v>1787</v>
      </c>
      <c r="D73" s="9">
        <f>Historicals!D135</f>
        <v>1507</v>
      </c>
      <c r="E73" s="9">
        <f>Historicals!E135</f>
        <v>1587</v>
      </c>
      <c r="F73" s="9">
        <f>Historicals!F135</f>
        <v>1995</v>
      </c>
      <c r="G73" s="9">
        <f>Historicals!G135</f>
        <v>1541</v>
      </c>
      <c r="H73" s="9">
        <f>Historicals!H135</f>
        <v>2435</v>
      </c>
      <c r="I73" s="9">
        <f>Historicals!I135</f>
        <v>3293</v>
      </c>
      <c r="J73" s="9">
        <f>+J66-J69</f>
        <v>3591.1365211956231</v>
      </c>
      <c r="K73" s="9">
        <f t="shared" ref="K73:N73" si="279">+K66-K69</f>
        <v>3920.7732544225714</v>
      </c>
      <c r="L73" s="9">
        <f t="shared" si="279"/>
        <v>4285.64636751938</v>
      </c>
      <c r="M73" s="9">
        <f t="shared" si="279"/>
        <v>4689.9671392336841</v>
      </c>
      <c r="N73" s="9">
        <f t="shared" si="279"/>
        <v>5138.4846587799775</v>
      </c>
    </row>
    <row r="74" spans="1:14" x14ac:dyDescent="0.3">
      <c r="A74" s="45" t="s">
        <v>129</v>
      </c>
      <c r="B74" s="46" t="str">
        <f t="shared" ref="B74" si="280">+IFERROR(B73/A73-1,"nm")</f>
        <v>nm</v>
      </c>
      <c r="C74" s="46">
        <f t="shared" ref="C74" si="281">+IFERROR(C73/B73-1,"nm")</f>
        <v>0.17257217847769035</v>
      </c>
      <c r="D74" s="46">
        <f t="shared" ref="D74" si="282">+IFERROR(D73/C73-1,"nm")</f>
        <v>-0.15668718522663683</v>
      </c>
      <c r="E74" s="46">
        <f t="shared" ref="E74" si="283">+IFERROR(E73/D73-1,"nm")</f>
        <v>5.3085600530855981E-2</v>
      </c>
      <c r="F74" s="46">
        <f t="shared" ref="F74" si="284">+IFERROR(F73/E73-1,"nm")</f>
        <v>0.25708884688090738</v>
      </c>
      <c r="G74" s="46">
        <f t="shared" ref="G74" si="285">+IFERROR(G73/F73-1,"nm")</f>
        <v>-0.22756892230576442</v>
      </c>
      <c r="H74" s="46">
        <f t="shared" ref="H74" si="286">+IFERROR(H73/G73-1,"nm")</f>
        <v>0.58014276443867629</v>
      </c>
      <c r="I74" s="46">
        <f t="shared" ref="I74" si="287">+IFERROR(I73/H73-1,"nm")</f>
        <v>0.3523613963039014</v>
      </c>
      <c r="J74" s="46">
        <f t="shared" ref="J74" si="288">+IFERROR(J73/I73-1,"nm")</f>
        <v>9.0536447371886819E-2</v>
      </c>
      <c r="K74" s="46">
        <f t="shared" ref="K74" si="289">+IFERROR(K73/J73-1,"nm")</f>
        <v>9.1791757645905303E-2</v>
      </c>
      <c r="L74" s="46">
        <f t="shared" ref="L74" si="290">+IFERROR(L73/K73-1,"nm")</f>
        <v>9.3061518588262393E-2</v>
      </c>
      <c r="M74" s="46">
        <f t="shared" ref="M74" si="291">+IFERROR(M73/L73-1,"nm")</f>
        <v>9.4343008508266823E-2</v>
      </c>
      <c r="N74" s="46">
        <f t="shared" ref="N74" si="292">+IFERROR(N73/M73-1,"nm")</f>
        <v>9.5633403439917997E-2</v>
      </c>
    </row>
    <row r="75" spans="1:14" x14ac:dyDescent="0.3">
      <c r="A75" s="45" t="s">
        <v>131</v>
      </c>
      <c r="B75" s="46">
        <f>+IFERROR(B73/B$52,"nm")</f>
        <v>0.21386472074094864</v>
      </c>
      <c r="C75" s="46">
        <f t="shared" ref="C75:N75" si="293">+IFERROR(C73/C$52,"nm")</f>
        <v>0.23612579281183932</v>
      </c>
      <c r="D75" s="46">
        <f t="shared" si="293"/>
        <v>0.1890840652446675</v>
      </c>
      <c r="E75" s="46">
        <f t="shared" si="293"/>
        <v>0.17171607877082881</v>
      </c>
      <c r="F75" s="46">
        <f t="shared" si="293"/>
        <v>0.20332246229107215</v>
      </c>
      <c r="G75" s="46">
        <f t="shared" si="293"/>
        <v>0.16486573232053064</v>
      </c>
      <c r="H75" s="46">
        <f t="shared" si="293"/>
        <v>0.21255237430167598</v>
      </c>
      <c r="I75" s="46">
        <f t="shared" si="293"/>
        <v>0.26388332398429359</v>
      </c>
      <c r="J75" s="46">
        <f t="shared" si="293"/>
        <v>0.26388332398429365</v>
      </c>
      <c r="K75" s="46">
        <f t="shared" si="293"/>
        <v>0.26388332398429365</v>
      </c>
      <c r="L75" s="46">
        <f t="shared" si="293"/>
        <v>0.26388332398429365</v>
      </c>
      <c r="M75" s="46">
        <f t="shared" si="293"/>
        <v>0.26388332398429365</v>
      </c>
      <c r="N75" s="46">
        <f t="shared" si="293"/>
        <v>0.26388332398429359</v>
      </c>
    </row>
    <row r="76" spans="1:14" x14ac:dyDescent="0.3">
      <c r="A76" s="9" t="s">
        <v>135</v>
      </c>
      <c r="B76" s="9">
        <f>+Historicals!B157</f>
        <v>236</v>
      </c>
      <c r="C76" s="9">
        <f>+Historicals!C157</f>
        <v>232</v>
      </c>
      <c r="D76" s="9">
        <f>+Historicals!D157</f>
        <v>173</v>
      </c>
      <c r="E76" s="9">
        <f>+Historicals!E157</f>
        <v>240</v>
      </c>
      <c r="F76" s="9">
        <f>+Historicals!F157</f>
        <v>233</v>
      </c>
      <c r="G76" s="9">
        <f>+Historicals!G157</f>
        <v>139</v>
      </c>
      <c r="H76" s="9">
        <f>+Historicals!H157</f>
        <v>153</v>
      </c>
      <c r="I76" s="9">
        <f>+Historicals!I157</f>
        <v>197</v>
      </c>
      <c r="J76" s="47">
        <f>+J52*J78</f>
        <v>214.83568013226167</v>
      </c>
      <c r="K76" s="47">
        <f t="shared" ref="K76:N76" si="294">+K52*K78</f>
        <v>234.55582481665547</v>
      </c>
      <c r="L76" s="47">
        <f t="shared" si="294"/>
        <v>256.38394606781588</v>
      </c>
      <c r="M76" s="47">
        <f t="shared" si="294"/>
        <v>280.5719788730749</v>
      </c>
      <c r="N76" s="47">
        <f t="shared" si="294"/>
        <v>307.40403212257985</v>
      </c>
    </row>
    <row r="77" spans="1:14" x14ac:dyDescent="0.3">
      <c r="A77" s="45" t="s">
        <v>129</v>
      </c>
      <c r="B77" s="46" t="str">
        <f t="shared" ref="B77" si="295">+IFERROR(B76/A76-1,"nm")</f>
        <v>nm</v>
      </c>
      <c r="C77" s="46">
        <f t="shared" ref="C77" si="296">+IFERROR(C76/B76-1,"nm")</f>
        <v>-1.6949152542372836E-2</v>
      </c>
      <c r="D77" s="46">
        <f t="shared" ref="D77" si="297">+IFERROR(D76/C76-1,"nm")</f>
        <v>-0.25431034482758619</v>
      </c>
      <c r="E77" s="46">
        <f t="shared" ref="E77" si="298">+IFERROR(E76/D76-1,"nm")</f>
        <v>0.38728323699421963</v>
      </c>
      <c r="F77" s="46">
        <f t="shared" ref="F77" si="299">+IFERROR(F76/E76-1,"nm")</f>
        <v>-2.9166666666666674E-2</v>
      </c>
      <c r="G77" s="46">
        <f t="shared" ref="G77" si="300">+IFERROR(G76/F76-1,"nm")</f>
        <v>-0.40343347639484983</v>
      </c>
      <c r="H77" s="46">
        <f t="shared" ref="H77" si="301">+IFERROR(H76/G76-1,"nm")</f>
        <v>0.10071942446043169</v>
      </c>
      <c r="I77" s="46">
        <f t="shared" ref="I77" si="302">+IFERROR(I76/H76-1,"nm")</f>
        <v>0.28758169934640532</v>
      </c>
      <c r="J77" s="46">
        <f t="shared" ref="J77" si="303">+IFERROR(J76/I76-1,"nm")</f>
        <v>9.0536447371886597E-2</v>
      </c>
      <c r="K77" s="46">
        <f t="shared" ref="K77" si="304">+IFERROR(K76/J76-1,"nm")</f>
        <v>9.1791757645905303E-2</v>
      </c>
      <c r="L77" s="46">
        <f t="shared" ref="L77" si="305">+IFERROR(L76/K76-1,"nm")</f>
        <v>9.3061518588262393E-2</v>
      </c>
      <c r="M77" s="46">
        <f t="shared" ref="M77" si="306">+IFERROR(M76/L76-1,"nm")</f>
        <v>9.4343008508267046E-2</v>
      </c>
      <c r="N77" s="46">
        <f t="shared" ref="N77" si="307">+IFERROR(N76/M76-1,"nm")</f>
        <v>9.5633403439918219E-2</v>
      </c>
    </row>
    <row r="78" spans="1:14" x14ac:dyDescent="0.3">
      <c r="A78" s="45" t="s">
        <v>133</v>
      </c>
      <c r="B78" s="46">
        <f>+IFERROR(B76/B$52,"nm")</f>
        <v>3.3118158854897557E-2</v>
      </c>
      <c r="C78" s="46">
        <f t="shared" ref="C78:I78" si="308">+IFERROR(C76/C$52,"nm")</f>
        <v>3.06553911205074E-2</v>
      </c>
      <c r="D78" s="46">
        <f t="shared" si="308"/>
        <v>2.1706398996235884E-2</v>
      </c>
      <c r="E78" s="46">
        <f t="shared" si="308"/>
        <v>2.5968405107119671E-2</v>
      </c>
      <c r="F78" s="46">
        <f t="shared" si="308"/>
        <v>2.3746432939258051E-2</v>
      </c>
      <c r="G78" s="46">
        <f t="shared" si="308"/>
        <v>1.4871081630469669E-2</v>
      </c>
      <c r="H78" s="46">
        <f t="shared" si="308"/>
        <v>1.3355446927374302E-2</v>
      </c>
      <c r="I78" s="46">
        <f t="shared" si="308"/>
        <v>1.5786521355877874E-2</v>
      </c>
      <c r="J78" s="48">
        <f>+I78</f>
        <v>1.5786521355877874E-2</v>
      </c>
      <c r="K78" s="48">
        <f t="shared" ref="K78" si="309">+J78</f>
        <v>1.5786521355877874E-2</v>
      </c>
      <c r="L78" s="48">
        <f t="shared" ref="L78" si="310">+K78</f>
        <v>1.5786521355877874E-2</v>
      </c>
      <c r="M78" s="48">
        <f t="shared" ref="M78" si="311">+L78</f>
        <v>1.5786521355877874E-2</v>
      </c>
      <c r="N78" s="48">
        <f t="shared" ref="N78" si="312">+M78</f>
        <v>1.5786521355877874E-2</v>
      </c>
    </row>
    <row r="79" spans="1:14" x14ac:dyDescent="0.3">
      <c r="A79" s="9" t="s">
        <v>141</v>
      </c>
      <c r="B79" s="9">
        <f>+Historicals!B146</f>
        <v>498</v>
      </c>
      <c r="C79" s="9">
        <f>+Historicals!C146</f>
        <v>639</v>
      </c>
      <c r="D79" s="9">
        <f>+Historicals!D146</f>
        <v>709</v>
      </c>
      <c r="E79" s="9">
        <f>+Historicals!E146</f>
        <v>849</v>
      </c>
      <c r="F79" s="9">
        <f>+Historicals!F146</f>
        <v>929</v>
      </c>
      <c r="G79" s="9">
        <f>+Historicals!G146</f>
        <v>885</v>
      </c>
      <c r="H79" s="9">
        <f>+Historicals!H146</f>
        <v>982</v>
      </c>
      <c r="I79" s="9">
        <f>+Historicals!I146</f>
        <v>920</v>
      </c>
      <c r="J79" s="47">
        <f>+J52*J81</f>
        <v>1003.2935315821359</v>
      </c>
      <c r="K79" s="47">
        <f t="shared" ref="K79:N79" si="313">+K52*K81</f>
        <v>1095.3876082808276</v>
      </c>
      <c r="L79" s="47">
        <f t="shared" si="313"/>
        <v>1197.3260425502065</v>
      </c>
      <c r="M79" s="47">
        <f t="shared" si="313"/>
        <v>1310.2853835696901</v>
      </c>
      <c r="N79" s="47">
        <f t="shared" si="313"/>
        <v>1435.5924342780381</v>
      </c>
    </row>
    <row r="80" spans="1:14" x14ac:dyDescent="0.3">
      <c r="A80" s="45" t="s">
        <v>129</v>
      </c>
      <c r="B80" s="46" t="str">
        <f t="shared" ref="B80" si="314">+IFERROR(B79/A79-1,"nm")</f>
        <v>nm</v>
      </c>
      <c r="C80" s="46">
        <f t="shared" ref="C80" si="315">+IFERROR(C79/B79-1,"nm")</f>
        <v>0.2831325301204819</v>
      </c>
      <c r="D80" s="46">
        <f t="shared" ref="D80" si="316">+IFERROR(D79/C79-1,"nm")</f>
        <v>0.10954616588419408</v>
      </c>
      <c r="E80" s="46">
        <f t="shared" ref="E80" si="317">+IFERROR(E79/D79-1,"nm")</f>
        <v>0.19746121297602248</v>
      </c>
      <c r="F80" s="46">
        <f t="shared" ref="F80" si="318">+IFERROR(F79/E79-1,"nm")</f>
        <v>9.4228504122497059E-2</v>
      </c>
      <c r="G80" s="46">
        <f t="shared" ref="G80" si="319">+IFERROR(G79/F79-1,"nm")</f>
        <v>-4.7362755651237931E-2</v>
      </c>
      <c r="H80" s="46">
        <f t="shared" ref="H80" si="320">+IFERROR(H79/G79-1,"nm")</f>
        <v>0.1096045197740112</v>
      </c>
      <c r="I80" s="46">
        <f t="shared" ref="I80" si="321">+IFERROR(I79/H79-1,"nm")</f>
        <v>-6.313645621181263E-2</v>
      </c>
      <c r="J80" s="46">
        <f t="shared" ref="J80" si="322">+IFERROR(J79/I79-1,"nm")</f>
        <v>9.0536447371886819E-2</v>
      </c>
      <c r="K80" s="46">
        <f t="shared" ref="K80" si="323">+IFERROR(K79/J79-1,"nm")</f>
        <v>9.1791757645905303E-2</v>
      </c>
      <c r="L80" s="46">
        <f t="shared" ref="L80" si="324">+IFERROR(L79/K79-1,"nm")</f>
        <v>9.3061518588262615E-2</v>
      </c>
      <c r="M80" s="46">
        <f t="shared" ref="M80" si="325">+IFERROR(M79/L79-1,"nm")</f>
        <v>9.4343008508266823E-2</v>
      </c>
      <c r="N80" s="46">
        <f t="shared" ref="N80" si="326">+IFERROR(N79/M79-1,"nm")</f>
        <v>9.5633403439917997E-2</v>
      </c>
    </row>
    <row r="81" spans="1:14" x14ac:dyDescent="0.3">
      <c r="A81" s="45" t="s">
        <v>133</v>
      </c>
      <c r="B81" s="46">
        <f>+IFERROR(B79/B$52,"nm")</f>
        <v>6.9884928431097393E-2</v>
      </c>
      <c r="C81" s="46">
        <f t="shared" ref="C81:I81" si="327">+IFERROR(C79/C$52,"nm")</f>
        <v>8.4434460887949259E-2</v>
      </c>
      <c r="D81" s="46">
        <f t="shared" si="327"/>
        <v>8.8958594730238399E-2</v>
      </c>
      <c r="E81" s="46">
        <f t="shared" si="327"/>
        <v>9.1863233066435832E-2</v>
      </c>
      <c r="F81" s="46">
        <f t="shared" si="327"/>
        <v>9.4679983693436609E-2</v>
      </c>
      <c r="G81" s="46">
        <f t="shared" si="327"/>
        <v>9.4682785920616241E-2</v>
      </c>
      <c r="H81" s="46">
        <f t="shared" si="327"/>
        <v>8.5719273743016758E-2</v>
      </c>
      <c r="I81" s="46">
        <f t="shared" si="327"/>
        <v>7.37238560782114E-2</v>
      </c>
      <c r="J81" s="48">
        <f>+I81</f>
        <v>7.37238560782114E-2</v>
      </c>
      <c r="K81" s="48">
        <f t="shared" ref="K81" si="328">+J81</f>
        <v>7.37238560782114E-2</v>
      </c>
      <c r="L81" s="48">
        <f t="shared" ref="L81" si="329">+K81</f>
        <v>7.37238560782114E-2</v>
      </c>
      <c r="M81" s="48">
        <f t="shared" ref="M81" si="330">+L81</f>
        <v>7.37238560782114E-2</v>
      </c>
      <c r="N81" s="48">
        <f t="shared" ref="N81" si="331">+M81</f>
        <v>7.37238560782114E-2</v>
      </c>
    </row>
    <row r="82" spans="1:14" x14ac:dyDescent="0.3">
      <c r="A82" s="42" t="s">
        <v>102</v>
      </c>
      <c r="B82" s="42"/>
      <c r="C82" s="42"/>
      <c r="D82" s="42"/>
      <c r="E82" s="42"/>
      <c r="F82" s="42"/>
      <c r="G82" s="42"/>
      <c r="H82" s="42"/>
      <c r="I82" s="42"/>
      <c r="J82" s="38"/>
      <c r="K82" s="38"/>
      <c r="L82" s="38"/>
      <c r="M82" s="38"/>
      <c r="N82" s="38"/>
    </row>
    <row r="83" spans="1:14" x14ac:dyDescent="0.3">
      <c r="A83" s="9" t="s">
        <v>136</v>
      </c>
      <c r="B83" s="9">
        <f>+Historicals!B115</f>
        <v>3067</v>
      </c>
      <c r="C83" s="9">
        <f>+Historicals!C115</f>
        <v>3785</v>
      </c>
      <c r="D83" s="9">
        <f>+Historicals!D115</f>
        <v>4237</v>
      </c>
      <c r="E83" s="9">
        <f>+Historicals!E115</f>
        <v>5134</v>
      </c>
      <c r="F83" s="9">
        <f>+Historicals!F115</f>
        <v>6208</v>
      </c>
      <c r="G83" s="9">
        <f>+Historicals!G115</f>
        <v>6679</v>
      </c>
      <c r="H83" s="9">
        <f>+Historicals!H115</f>
        <v>8290</v>
      </c>
      <c r="I83" s="9">
        <f>+Historicals!I115</f>
        <v>7547</v>
      </c>
      <c r="J83" s="9">
        <f>+SUM(J85+J89+J93)</f>
        <v>6894.4709669011299</v>
      </c>
      <c r="K83" s="9">
        <f t="shared" ref="K83:N83" si="332">+SUM(K85+K89+K93)</f>
        <v>6318.8844625290221</v>
      </c>
      <c r="L83" s="9">
        <f t="shared" si="332"/>
        <v>5808.9405065773244</v>
      </c>
      <c r="M83" s="9">
        <f t="shared" si="332"/>
        <v>5355.1866880255957</v>
      </c>
      <c r="N83" s="9">
        <f t="shared" si="332"/>
        <v>4949.7032216118332</v>
      </c>
    </row>
    <row r="84" spans="1:14" x14ac:dyDescent="0.3">
      <c r="A84" s="43" t="s">
        <v>129</v>
      </c>
      <c r="B84" s="46" t="str">
        <f t="shared" ref="B84" si="333">+IFERROR(B83/A83-1,"nm")</f>
        <v>nm</v>
      </c>
      <c r="C84" s="46">
        <f t="shared" ref="C84" si="334">+IFERROR(C83/B83-1,"nm")</f>
        <v>0.23410498858819695</v>
      </c>
      <c r="D84" s="46">
        <f t="shared" ref="D84" si="335">+IFERROR(D83/C83-1,"nm")</f>
        <v>0.11941875825627468</v>
      </c>
      <c r="E84" s="46">
        <f t="shared" ref="E84" si="336">+IFERROR(E83/D83-1,"nm")</f>
        <v>0.21170639603493036</v>
      </c>
      <c r="F84" s="46">
        <f t="shared" ref="F84" si="337">+IFERROR(F83/E83-1,"nm")</f>
        <v>0.20919361121932223</v>
      </c>
      <c r="G84" s="46">
        <f t="shared" ref="G84" si="338">+IFERROR(G83/F83-1,"nm")</f>
        <v>7.5869845360824639E-2</v>
      </c>
      <c r="H84" s="46">
        <f t="shared" ref="H84" si="339">+IFERROR(H83/G83-1,"nm")</f>
        <v>0.24120377301991325</v>
      </c>
      <c r="I84" s="46">
        <f t="shared" ref="I84" si="340">+IFERROR(I83/H83-1,"nm")</f>
        <v>-8.9626055488540413E-2</v>
      </c>
      <c r="J84" s="46">
        <f t="shared" ref="J84" si="341">+IFERROR(J83/I83-1,"nm")</f>
        <v>-8.6462042281551632E-2</v>
      </c>
      <c r="K84" s="46">
        <f t="shared" ref="K84" si="342">+IFERROR(K83/J83-1,"nm")</f>
        <v>-8.3485231446382868E-2</v>
      </c>
      <c r="L84" s="46">
        <f t="shared" ref="L84" si="343">+IFERROR(L83/K83-1,"nm")</f>
        <v>-8.0701579365102361E-2</v>
      </c>
      <c r="M84" s="46">
        <f t="shared" ref="M84" si="344">+IFERROR(M83/L83-1,"nm")</f>
        <v>-7.8113008394207872E-2</v>
      </c>
      <c r="N84" s="46">
        <f t="shared" ref="N84" si="345">+IFERROR(N83/M83-1,"nm")</f>
        <v>-7.5717895572238292E-2</v>
      </c>
    </row>
    <row r="85" spans="1:14" x14ac:dyDescent="0.3">
      <c r="A85" s="44" t="s">
        <v>113</v>
      </c>
      <c r="B85" s="3">
        <f>+Historicals!B116</f>
        <v>2016</v>
      </c>
      <c r="C85" s="3">
        <f>+Historicals!C116</f>
        <v>2599</v>
      </c>
      <c r="D85" s="3">
        <f>+Historicals!D116</f>
        <v>2920</v>
      </c>
      <c r="E85" s="3">
        <f>+Historicals!E116</f>
        <v>3496</v>
      </c>
      <c r="F85" s="3">
        <f>+Historicals!F116</f>
        <v>4262</v>
      </c>
      <c r="G85" s="3">
        <f>+Historicals!G116</f>
        <v>4635</v>
      </c>
      <c r="H85" s="3">
        <f>+Historicals!H116</f>
        <v>5748</v>
      </c>
      <c r="I85" s="3">
        <f>+Historicals!I116</f>
        <v>5416</v>
      </c>
      <c r="J85" s="3">
        <f>+I85*(1+J86)</f>
        <v>5103.1760612386915</v>
      </c>
      <c r="K85" s="3">
        <f t="shared" ref="K85" si="346">+J85*(1+K86)</f>
        <v>4808.4205893647795</v>
      </c>
      <c r="L85" s="3">
        <f t="shared" ref="L85" si="347">+K85*(1+L86)</f>
        <v>4530.6899638134382</v>
      </c>
      <c r="M85" s="3">
        <f t="shared" ref="M85" si="348">+L85*(1+M86)</f>
        <v>4269.0008427302682</v>
      </c>
      <c r="N85" s="3">
        <f t="shared" ref="N85" si="349">+M85*(1+N86)</f>
        <v>4022.4266813199606</v>
      </c>
    </row>
    <row r="86" spans="1:14" x14ac:dyDescent="0.3">
      <c r="A86" s="43" t="s">
        <v>129</v>
      </c>
      <c r="B86" s="46" t="str">
        <f t="shared" ref="B86" si="350">+IFERROR(B85/A85-1,"nm")</f>
        <v>nm</v>
      </c>
      <c r="C86" s="46">
        <f t="shared" ref="C86" si="351">+IFERROR(C85/B85-1,"nm")</f>
        <v>0.28918650793650791</v>
      </c>
      <c r="D86" s="46">
        <f t="shared" ref="D86" si="352">+IFERROR(D85/C85-1,"nm")</f>
        <v>0.12350904193920731</v>
      </c>
      <c r="E86" s="46">
        <f t="shared" ref="E86" si="353">+IFERROR(E85/D85-1,"nm")</f>
        <v>0.19726027397260282</v>
      </c>
      <c r="F86" s="46">
        <f t="shared" ref="F86" si="354">+IFERROR(F85/E85-1,"nm")</f>
        <v>0.21910755148741412</v>
      </c>
      <c r="G86" s="46">
        <f t="shared" ref="G86" si="355">+IFERROR(G85/F85-1,"nm")</f>
        <v>8.7517597372125833E-2</v>
      </c>
      <c r="H86" s="46">
        <f t="shared" ref="H86" si="356">+IFERROR(H85/G85-1,"nm")</f>
        <v>0.24012944983818763</v>
      </c>
      <c r="I86" s="46">
        <f t="shared" ref="I86" si="357">+IFERROR(I85/H85-1,"nm")</f>
        <v>-5.7759220598469052E-2</v>
      </c>
      <c r="J86" s="46">
        <f>+J87+J88</f>
        <v>-5.7759220598469052E-2</v>
      </c>
      <c r="K86" s="46">
        <f t="shared" ref="K86:N86" si="358">+K87+K88</f>
        <v>-5.7759220598469052E-2</v>
      </c>
      <c r="L86" s="46">
        <f t="shared" si="358"/>
        <v>-5.7759220598469052E-2</v>
      </c>
      <c r="M86" s="46">
        <f t="shared" si="358"/>
        <v>-5.7759220598469052E-2</v>
      </c>
      <c r="N86" s="46">
        <f t="shared" si="358"/>
        <v>-5.7759220598469052E-2</v>
      </c>
    </row>
    <row r="87" spans="1:14" x14ac:dyDescent="0.3">
      <c r="A87" s="43" t="s">
        <v>137</v>
      </c>
      <c r="B87" s="46" t="str">
        <f>+Historicals!B188</f>
        <v>nm</v>
      </c>
      <c r="C87" s="46">
        <f>+Historicals!C188</f>
        <v>0.28918650793650791</v>
      </c>
      <c r="D87" s="46">
        <f>+Historicals!D188</f>
        <v>0.12350904193920731</v>
      </c>
      <c r="E87" s="46">
        <f>+Historicals!E188</f>
        <v>0.19726027397260282</v>
      </c>
      <c r="F87" s="46">
        <f>+Historicals!F188</f>
        <v>0.21910755148741412</v>
      </c>
      <c r="G87" s="46">
        <f>+Historicals!G188</f>
        <v>8.7517597372125833E-2</v>
      </c>
      <c r="H87" s="46">
        <f>+Historicals!H188</f>
        <v>0.24012944983818763</v>
      </c>
      <c r="I87" s="46">
        <f>+Historicals!I188</f>
        <v>-5.7759220598469052E-2</v>
      </c>
      <c r="J87" s="75">
        <f>I87</f>
        <v>-5.7759220598469052E-2</v>
      </c>
      <c r="K87" s="75">
        <f t="shared" ref="K87:K88" si="359">+J87</f>
        <v>-5.7759220598469052E-2</v>
      </c>
      <c r="L87" s="75">
        <f t="shared" ref="L87:L88" si="360">+K87</f>
        <v>-5.7759220598469052E-2</v>
      </c>
      <c r="M87" s="75">
        <f t="shared" ref="M87:M88" si="361">+L87</f>
        <v>-5.7759220598469052E-2</v>
      </c>
      <c r="N87" s="75">
        <f t="shared" ref="N87:N88" si="362">+M87</f>
        <v>-5.7759220598469052E-2</v>
      </c>
    </row>
    <row r="88" spans="1:14" x14ac:dyDescent="0.3">
      <c r="A88" s="43" t="s">
        <v>138</v>
      </c>
      <c r="B88" s="46" t="str">
        <f t="shared" ref="B88" si="363">+IFERROR(B86-B87,"nm")</f>
        <v>nm</v>
      </c>
      <c r="C88" s="46">
        <f t="shared" ref="C88:I88" si="364">+IFERROR(C86-C87,"nm")</f>
        <v>0</v>
      </c>
      <c r="D88" s="46">
        <f t="shared" si="364"/>
        <v>0</v>
      </c>
      <c r="E88" s="46">
        <f t="shared" si="364"/>
        <v>0</v>
      </c>
      <c r="F88" s="46">
        <f t="shared" si="364"/>
        <v>0</v>
      </c>
      <c r="G88" s="46">
        <f t="shared" si="364"/>
        <v>0</v>
      </c>
      <c r="H88" s="46">
        <f t="shared" si="364"/>
        <v>0</v>
      </c>
      <c r="I88" s="46">
        <f t="shared" si="364"/>
        <v>0</v>
      </c>
      <c r="J88" s="48">
        <v>0</v>
      </c>
      <c r="K88" s="48">
        <f t="shared" si="359"/>
        <v>0</v>
      </c>
      <c r="L88" s="48">
        <f t="shared" si="360"/>
        <v>0</v>
      </c>
      <c r="M88" s="48">
        <f t="shared" si="361"/>
        <v>0</v>
      </c>
      <c r="N88" s="48">
        <f t="shared" si="362"/>
        <v>0</v>
      </c>
    </row>
    <row r="89" spans="1:14" x14ac:dyDescent="0.3">
      <c r="A89" s="44" t="s">
        <v>114</v>
      </c>
      <c r="B89" s="3">
        <f>+Historicals!B117</f>
        <v>925</v>
      </c>
      <c r="C89" s="3">
        <f>+Historicals!C117</f>
        <v>1055</v>
      </c>
      <c r="D89" s="3">
        <f>+Historicals!D117</f>
        <v>1188</v>
      </c>
      <c r="E89" s="3">
        <f>+Historicals!E117</f>
        <v>1508</v>
      </c>
      <c r="F89" s="3">
        <f>+Historicals!F117</f>
        <v>1808</v>
      </c>
      <c r="G89" s="3">
        <f>+Historicals!G117</f>
        <v>1896</v>
      </c>
      <c r="H89" s="3">
        <f>+Historicals!H117</f>
        <v>2347</v>
      </c>
      <c r="I89" s="3">
        <f>+Historicals!I117</f>
        <v>1938</v>
      </c>
      <c r="J89" s="3">
        <f>+I89*(1+J90)</f>
        <v>1600.2743928419259</v>
      </c>
      <c r="K89" s="3">
        <f t="shared" ref="K89" si="365">+J89*(1+K90)</f>
        <v>1321.4025450906061</v>
      </c>
      <c r="L89" s="3">
        <f t="shared" ref="L89" si="366">+K89*(1+L90)</f>
        <v>1091.128305234595</v>
      </c>
      <c r="M89" s="3">
        <f t="shared" ref="M89" si="367">+L89*(1+M90)</f>
        <v>900.98281020223487</v>
      </c>
      <c r="N89" s="3">
        <f t="shared" ref="N89" si="368">+M89*(1+N90)</f>
        <v>743.973023507427</v>
      </c>
    </row>
    <row r="90" spans="1:14" x14ac:dyDescent="0.3">
      <c r="A90" s="43" t="s">
        <v>129</v>
      </c>
      <c r="B90" s="46" t="str">
        <f t="shared" ref="B90" si="369">+IFERROR(B89/A89-1,"nm")</f>
        <v>nm</v>
      </c>
      <c r="C90" s="46">
        <f t="shared" ref="C90" si="370">+IFERROR(C89/B89-1,"nm")</f>
        <v>0.14054054054054044</v>
      </c>
      <c r="D90" s="46">
        <f t="shared" ref="D90" si="371">+IFERROR(D89/C89-1,"nm")</f>
        <v>0.12606635071090055</v>
      </c>
      <c r="E90" s="46">
        <f t="shared" ref="E90" si="372">+IFERROR(E89/D89-1,"nm")</f>
        <v>0.26936026936026947</v>
      </c>
      <c r="F90" s="46">
        <f t="shared" ref="F90" si="373">+IFERROR(F89/E89-1,"nm")</f>
        <v>0.19893899204244025</v>
      </c>
      <c r="G90" s="46">
        <f t="shared" ref="G90" si="374">+IFERROR(G89/F89-1,"nm")</f>
        <v>4.8672566371681381E-2</v>
      </c>
      <c r="H90" s="46">
        <f t="shared" ref="H90" si="375">+IFERROR(H89/G89-1,"nm")</f>
        <v>0.2378691983122363</v>
      </c>
      <c r="I90" s="46">
        <f t="shared" ref="I90" si="376">+IFERROR(I89/H89-1,"nm")</f>
        <v>-0.17426501917341286</v>
      </c>
      <c r="J90" s="46">
        <f>+J91+J92</f>
        <v>-0.17426501917341286</v>
      </c>
      <c r="K90" s="46">
        <f t="shared" ref="K90:N90" si="377">+K91+K92</f>
        <v>-0.17426501917341286</v>
      </c>
      <c r="L90" s="46">
        <f t="shared" si="377"/>
        <v>-0.17426501917341286</v>
      </c>
      <c r="M90" s="46">
        <f t="shared" si="377"/>
        <v>-0.17426501917341286</v>
      </c>
      <c r="N90" s="46">
        <f t="shared" si="377"/>
        <v>-0.17426501917341286</v>
      </c>
    </row>
    <row r="91" spans="1:14" x14ac:dyDescent="0.3">
      <c r="A91" s="43" t="s">
        <v>137</v>
      </c>
      <c r="B91" s="46" t="str">
        <f>+Historicals!B189</f>
        <v>nm</v>
      </c>
      <c r="C91" s="46">
        <f>+Historicals!C189</f>
        <v>0.14054054054054044</v>
      </c>
      <c r="D91" s="46">
        <f>+Historicals!D189</f>
        <v>0.12606635071090055</v>
      </c>
      <c r="E91" s="46">
        <f>+Historicals!E189</f>
        <v>0.26936026936026947</v>
      </c>
      <c r="F91" s="46">
        <f>+Historicals!F189</f>
        <v>0.19893899204244025</v>
      </c>
      <c r="G91" s="46">
        <f>+Historicals!G189</f>
        <v>4.8672566371681381E-2</v>
      </c>
      <c r="H91" s="46">
        <f>+Historicals!H189</f>
        <v>0.2378691983122363</v>
      </c>
      <c r="I91" s="46">
        <f>+Historicals!I189</f>
        <v>-0.17426501917341286</v>
      </c>
      <c r="J91" s="75">
        <f>I91</f>
        <v>-0.17426501917341286</v>
      </c>
      <c r="K91" s="75">
        <f t="shared" ref="K91:K92" si="378">+J91</f>
        <v>-0.17426501917341286</v>
      </c>
      <c r="L91" s="75">
        <f t="shared" ref="L91:L92" si="379">+K91</f>
        <v>-0.17426501917341286</v>
      </c>
      <c r="M91" s="75">
        <f t="shared" ref="M91:M92" si="380">+L91</f>
        <v>-0.17426501917341286</v>
      </c>
      <c r="N91" s="75">
        <f t="shared" ref="N91:N92" si="381">+M91</f>
        <v>-0.17426501917341286</v>
      </c>
    </row>
    <row r="92" spans="1:14" x14ac:dyDescent="0.3">
      <c r="A92" s="43" t="s">
        <v>138</v>
      </c>
      <c r="B92" s="46" t="str">
        <f t="shared" ref="B92" si="382">+IFERROR(B90-B91,"nm")</f>
        <v>nm</v>
      </c>
      <c r="C92" s="46">
        <f t="shared" ref="C92:I92" si="383">+IFERROR(C90-C91,"nm")</f>
        <v>0</v>
      </c>
      <c r="D92" s="46">
        <f t="shared" si="383"/>
        <v>0</v>
      </c>
      <c r="E92" s="46">
        <f t="shared" si="383"/>
        <v>0</v>
      </c>
      <c r="F92" s="46">
        <f t="shared" si="383"/>
        <v>0</v>
      </c>
      <c r="G92" s="46">
        <f t="shared" si="383"/>
        <v>0</v>
      </c>
      <c r="H92" s="46">
        <f t="shared" si="383"/>
        <v>0</v>
      </c>
      <c r="I92" s="46">
        <f t="shared" si="383"/>
        <v>0</v>
      </c>
      <c r="J92" s="48">
        <v>0</v>
      </c>
      <c r="K92" s="48">
        <f t="shared" si="378"/>
        <v>0</v>
      </c>
      <c r="L92" s="48">
        <f t="shared" si="379"/>
        <v>0</v>
      </c>
      <c r="M92" s="48">
        <f t="shared" si="380"/>
        <v>0</v>
      </c>
      <c r="N92" s="48">
        <f t="shared" si="381"/>
        <v>0</v>
      </c>
    </row>
    <row r="93" spans="1:14" x14ac:dyDescent="0.3">
      <c r="A93" s="44" t="s">
        <v>115</v>
      </c>
      <c r="B93" s="3">
        <f>+Historicals!B118</f>
        <v>126</v>
      </c>
      <c r="C93" s="3">
        <f>+Historicals!C118</f>
        <v>131</v>
      </c>
      <c r="D93" s="3">
        <f>+Historicals!D118</f>
        <v>129</v>
      </c>
      <c r="E93" s="3">
        <f>+Historicals!E118</f>
        <v>130</v>
      </c>
      <c r="F93" s="3">
        <f>+Historicals!F118</f>
        <v>138</v>
      </c>
      <c r="G93" s="3">
        <f>+Historicals!G118</f>
        <v>148</v>
      </c>
      <c r="H93" s="3">
        <f>+Historicals!H118</f>
        <v>195</v>
      </c>
      <c r="I93" s="3">
        <f>+Historicals!I118</f>
        <v>193</v>
      </c>
      <c r="J93" s="3">
        <f>+I93*(1+J94)</f>
        <v>191.02051282051283</v>
      </c>
      <c r="K93" s="3">
        <f t="shared" ref="K93" si="384">+J93*(1+K94)</f>
        <v>189.06132807363579</v>
      </c>
      <c r="L93" s="3">
        <f t="shared" ref="L93" si="385">+K93*(1+L94)</f>
        <v>187.12223752929083</v>
      </c>
      <c r="M93" s="3">
        <f t="shared" ref="M93" si="386">+L93*(1+M94)</f>
        <v>185.20303509309298</v>
      </c>
      <c r="N93" s="3">
        <f t="shared" ref="N93" si="387">+M93*(1+N94)</f>
        <v>183.30351678444589</v>
      </c>
    </row>
    <row r="94" spans="1:14" x14ac:dyDescent="0.3">
      <c r="A94" s="43" t="s">
        <v>129</v>
      </c>
      <c r="B94" s="46" t="str">
        <f t="shared" ref="B94" si="388">+IFERROR(B93/A93-1,"nm")</f>
        <v>nm</v>
      </c>
      <c r="C94" s="46">
        <f t="shared" ref="C94" si="389">+IFERROR(C93/B93-1,"nm")</f>
        <v>3.9682539682539764E-2</v>
      </c>
      <c r="D94" s="46">
        <f t="shared" ref="D94" si="390">+IFERROR(D93/C93-1,"nm")</f>
        <v>-1.5267175572519109E-2</v>
      </c>
      <c r="E94" s="46">
        <f t="shared" ref="E94" si="391">+IFERROR(E93/D93-1,"nm")</f>
        <v>7.7519379844961378E-3</v>
      </c>
      <c r="F94" s="46">
        <f t="shared" ref="F94" si="392">+IFERROR(F93/E93-1,"nm")</f>
        <v>6.1538461538461542E-2</v>
      </c>
      <c r="G94" s="46">
        <f t="shared" ref="G94" si="393">+IFERROR(G93/F93-1,"nm")</f>
        <v>7.2463768115942129E-2</v>
      </c>
      <c r="H94" s="46">
        <f t="shared" ref="H94" si="394">+IFERROR(H93/G93-1,"nm")</f>
        <v>0.31756756756756754</v>
      </c>
      <c r="I94" s="46">
        <f t="shared" ref="I94" si="395">+IFERROR(I93/H93-1,"nm")</f>
        <v>-1.025641025641022E-2</v>
      </c>
      <c r="J94" s="46">
        <f>+J95+J96</f>
        <v>-1.025641025641022E-2</v>
      </c>
      <c r="K94" s="46">
        <f t="shared" ref="K94:N94" si="396">+K95+K96</f>
        <v>-1.025641025641022E-2</v>
      </c>
      <c r="L94" s="46">
        <f t="shared" si="396"/>
        <v>-1.025641025641022E-2</v>
      </c>
      <c r="M94" s="46">
        <f t="shared" si="396"/>
        <v>-1.025641025641022E-2</v>
      </c>
      <c r="N94" s="46">
        <f t="shared" si="396"/>
        <v>-1.025641025641022E-2</v>
      </c>
    </row>
    <row r="95" spans="1:14" x14ac:dyDescent="0.3">
      <c r="A95" s="43" t="s">
        <v>137</v>
      </c>
      <c r="B95" s="46" t="str">
        <f>+Historicals!B190</f>
        <v>nm</v>
      </c>
      <c r="C95" s="46">
        <f>+Historicals!C190</f>
        <v>3.9682539682539764E-2</v>
      </c>
      <c r="D95" s="46">
        <f>+Historicals!D190</f>
        <v>-1.5267175572519109E-2</v>
      </c>
      <c r="E95" s="46">
        <f>+Historicals!E190</f>
        <v>7.7519379844961378E-3</v>
      </c>
      <c r="F95" s="46">
        <f>+Historicals!F190</f>
        <v>6.1538461538461542E-2</v>
      </c>
      <c r="G95" s="46">
        <f>+Historicals!G190</f>
        <v>7.2463768115942129E-2</v>
      </c>
      <c r="H95" s="46">
        <f>+Historicals!H190</f>
        <v>0.31756756756756754</v>
      </c>
      <c r="I95" s="46">
        <f>+Historicals!I190</f>
        <v>-1.025641025641022E-2</v>
      </c>
      <c r="J95" s="75">
        <f>I95</f>
        <v>-1.025641025641022E-2</v>
      </c>
      <c r="K95" s="75">
        <f t="shared" ref="K95:K96" si="397">+J95</f>
        <v>-1.025641025641022E-2</v>
      </c>
      <c r="L95" s="75">
        <f t="shared" ref="L95:L96" si="398">+K95</f>
        <v>-1.025641025641022E-2</v>
      </c>
      <c r="M95" s="75">
        <f t="shared" ref="M95:M96" si="399">+L95</f>
        <v>-1.025641025641022E-2</v>
      </c>
      <c r="N95" s="75">
        <f t="shared" ref="N95:N96" si="400">+M95</f>
        <v>-1.025641025641022E-2</v>
      </c>
    </row>
    <row r="96" spans="1:14" x14ac:dyDescent="0.3">
      <c r="A96" s="43" t="s">
        <v>138</v>
      </c>
      <c r="B96" s="46" t="str">
        <f t="shared" ref="B96" si="401">+IFERROR(B94-B95,"nm")</f>
        <v>nm</v>
      </c>
      <c r="C96" s="46">
        <f t="shared" ref="C96:I96" si="402">+IFERROR(C94-C95,"nm")</f>
        <v>0</v>
      </c>
      <c r="D96" s="46">
        <f t="shared" si="402"/>
        <v>0</v>
      </c>
      <c r="E96" s="46">
        <f t="shared" si="402"/>
        <v>0</v>
      </c>
      <c r="F96" s="46">
        <f t="shared" si="402"/>
        <v>0</v>
      </c>
      <c r="G96" s="46">
        <f t="shared" si="402"/>
        <v>0</v>
      </c>
      <c r="H96" s="46">
        <f t="shared" si="402"/>
        <v>0</v>
      </c>
      <c r="I96" s="46">
        <f t="shared" si="402"/>
        <v>0</v>
      </c>
      <c r="J96" s="48">
        <v>0</v>
      </c>
      <c r="K96" s="48">
        <f t="shared" si="397"/>
        <v>0</v>
      </c>
      <c r="L96" s="48">
        <f t="shared" si="398"/>
        <v>0</v>
      </c>
      <c r="M96" s="48">
        <f t="shared" si="399"/>
        <v>0</v>
      </c>
      <c r="N96" s="48">
        <f t="shared" si="400"/>
        <v>0</v>
      </c>
    </row>
    <row r="97" spans="1:14" x14ac:dyDescent="0.3">
      <c r="A97" s="9" t="s">
        <v>130</v>
      </c>
      <c r="B97" s="47">
        <f t="shared" ref="B97" si="403">+B104+B100</f>
        <v>1039</v>
      </c>
      <c r="C97" s="47">
        <f t="shared" ref="C97:I97" si="404">+C104+C100</f>
        <v>1420</v>
      </c>
      <c r="D97" s="47">
        <f t="shared" si="404"/>
        <v>1561</v>
      </c>
      <c r="E97" s="47">
        <f t="shared" si="404"/>
        <v>1863</v>
      </c>
      <c r="F97" s="47">
        <f t="shared" si="404"/>
        <v>2426</v>
      </c>
      <c r="G97" s="47">
        <f t="shared" si="404"/>
        <v>2534</v>
      </c>
      <c r="H97" s="47">
        <f t="shared" si="404"/>
        <v>3289</v>
      </c>
      <c r="I97" s="47">
        <f t="shared" si="404"/>
        <v>2406</v>
      </c>
      <c r="J97" s="47">
        <f>+J83*J99</f>
        <v>2197.9723262705866</v>
      </c>
      <c r="K97" s="47">
        <f t="shared" ref="K97:N97" si="405">+K83*K99</f>
        <v>2014.4740978991422</v>
      </c>
      <c r="L97" s="47">
        <f t="shared" si="405"/>
        <v>1851.9028566085917</v>
      </c>
      <c r="M97" s="47">
        <f t="shared" si="405"/>
        <v>1707.2451532250673</v>
      </c>
      <c r="N97" s="47">
        <f t="shared" si="405"/>
        <v>1577.9761429969617</v>
      </c>
    </row>
    <row r="98" spans="1:14" x14ac:dyDescent="0.3">
      <c r="A98" s="45" t="s">
        <v>129</v>
      </c>
      <c r="B98" s="46" t="str">
        <f t="shared" ref="B98" si="406">+IFERROR(B97/A97-1,"nm")</f>
        <v>nm</v>
      </c>
      <c r="C98" s="46">
        <f t="shared" ref="C98" si="407">+IFERROR(C97/B97-1,"nm")</f>
        <v>0.36669874879692022</v>
      </c>
      <c r="D98" s="46">
        <f t="shared" ref="D98" si="408">+IFERROR(D97/C97-1,"nm")</f>
        <v>9.9295774647887303E-2</v>
      </c>
      <c r="E98" s="46">
        <f t="shared" ref="E98" si="409">+IFERROR(E97/D97-1,"nm")</f>
        <v>0.19346572709801402</v>
      </c>
      <c r="F98" s="46">
        <f t="shared" ref="F98" si="410">+IFERROR(F97/E97-1,"nm")</f>
        <v>0.3022007514761138</v>
      </c>
      <c r="G98" s="46">
        <f t="shared" ref="G98" si="411">+IFERROR(G97/F97-1,"nm")</f>
        <v>4.4517724649629109E-2</v>
      </c>
      <c r="H98" s="46">
        <f t="shared" ref="H98" si="412">+IFERROR(H97/G97-1,"nm")</f>
        <v>0.29794790844514596</v>
      </c>
      <c r="I98" s="46">
        <f t="shared" ref="I98" si="413">+IFERROR(I97/H97-1,"nm")</f>
        <v>-0.26847065977500761</v>
      </c>
      <c r="J98" s="46">
        <f t="shared" ref="J98" si="414">+IFERROR(J97/I97-1,"nm")</f>
        <v>-8.6462042281551743E-2</v>
      </c>
      <c r="K98" s="46">
        <f t="shared" ref="K98" si="415">+IFERROR(K97/J97-1,"nm")</f>
        <v>-8.3485231446382868E-2</v>
      </c>
      <c r="L98" s="46">
        <f t="shared" ref="L98" si="416">+IFERROR(L97/K97-1,"nm")</f>
        <v>-8.0701579365102249E-2</v>
      </c>
      <c r="M98" s="46">
        <f t="shared" ref="M98" si="417">+IFERROR(M97/L97-1,"nm")</f>
        <v>-7.8113008394207872E-2</v>
      </c>
      <c r="N98" s="46">
        <f t="shared" ref="N98" si="418">+IFERROR(N97/M97-1,"nm")</f>
        <v>-7.5717895572238292E-2</v>
      </c>
    </row>
    <row r="99" spans="1:14" x14ac:dyDescent="0.3">
      <c r="A99" s="45" t="s">
        <v>131</v>
      </c>
      <c r="B99" s="46">
        <f>+IFERROR(B97/B$83,"nm")</f>
        <v>0.33876752526899251</v>
      </c>
      <c r="C99" s="46">
        <f t="shared" ref="C99:I99" si="419">+IFERROR(C97/C$83,"nm")</f>
        <v>0.37516512549537651</v>
      </c>
      <c r="D99" s="46">
        <f t="shared" si="419"/>
        <v>0.36842105263157893</v>
      </c>
      <c r="E99" s="46">
        <f t="shared" si="419"/>
        <v>0.36287495130502534</v>
      </c>
      <c r="F99" s="46">
        <f t="shared" si="419"/>
        <v>0.3907860824742268</v>
      </c>
      <c r="G99" s="46">
        <f t="shared" si="419"/>
        <v>0.37939811349004343</v>
      </c>
      <c r="H99" s="46">
        <f t="shared" si="419"/>
        <v>0.39674306393244874</v>
      </c>
      <c r="I99" s="46">
        <f t="shared" si="419"/>
        <v>0.31880217304889358</v>
      </c>
      <c r="J99" s="48">
        <f>+I99</f>
        <v>0.31880217304889358</v>
      </c>
      <c r="K99" s="48">
        <f t="shared" ref="K99" si="420">+J99</f>
        <v>0.31880217304889358</v>
      </c>
      <c r="L99" s="48">
        <f t="shared" ref="L99" si="421">+K99</f>
        <v>0.31880217304889358</v>
      </c>
      <c r="M99" s="48">
        <f t="shared" ref="M99" si="422">+L99</f>
        <v>0.31880217304889358</v>
      </c>
      <c r="N99" s="48">
        <f t="shared" ref="N99" si="423">+M99</f>
        <v>0.31880217304889358</v>
      </c>
    </row>
    <row r="100" spans="1:14" x14ac:dyDescent="0.3">
      <c r="A100" s="9" t="s">
        <v>132</v>
      </c>
      <c r="B100" s="9">
        <f>+Historicals!B169</f>
        <v>46</v>
      </c>
      <c r="C100" s="9">
        <f>+Historicals!C169</f>
        <v>48</v>
      </c>
      <c r="D100" s="9">
        <f>+Historicals!D169</f>
        <v>54</v>
      </c>
      <c r="E100" s="9">
        <f>+Historicals!E169</f>
        <v>56</v>
      </c>
      <c r="F100" s="9">
        <f>+Historicals!F169</f>
        <v>50</v>
      </c>
      <c r="G100" s="9">
        <f>+Historicals!G169</f>
        <v>44</v>
      </c>
      <c r="H100" s="9">
        <f>+Historicals!H169</f>
        <v>46</v>
      </c>
      <c r="I100" s="9">
        <f>+Historicals!I169</f>
        <v>41</v>
      </c>
      <c r="J100" s="47">
        <f>+J103*J110</f>
        <v>37.455056266456388</v>
      </c>
      <c r="K100" s="47">
        <f t="shared" ref="K100:N100" si="424">+K103*K110</f>
        <v>34.328112225213978</v>
      </c>
      <c r="L100" s="47">
        <f t="shared" si="424"/>
        <v>31.557779352016738</v>
      </c>
      <c r="M100" s="47">
        <f t="shared" si="424"/>
        <v>29.092706268590092</v>
      </c>
      <c r="N100" s="47">
        <f t="shared" si="424"/>
        <v>26.889867773431185</v>
      </c>
    </row>
    <row r="101" spans="1:14" x14ac:dyDescent="0.3">
      <c r="A101" s="45" t="s">
        <v>129</v>
      </c>
      <c r="B101" s="46" t="str">
        <f t="shared" ref="B101" si="425">+IFERROR(B100/A100-1,"nm")</f>
        <v>nm</v>
      </c>
      <c r="C101" s="46">
        <f t="shared" ref="C101" si="426">+IFERROR(C100/B100-1,"nm")</f>
        <v>4.3478260869565188E-2</v>
      </c>
      <c r="D101" s="46">
        <f t="shared" ref="D101" si="427">+IFERROR(D100/C100-1,"nm")</f>
        <v>0.125</v>
      </c>
      <c r="E101" s="46">
        <f t="shared" ref="E101" si="428">+IFERROR(E100/D100-1,"nm")</f>
        <v>3.7037037037036979E-2</v>
      </c>
      <c r="F101" s="46">
        <f t="shared" ref="F101" si="429">+IFERROR(F100/E100-1,"nm")</f>
        <v>-0.1071428571428571</v>
      </c>
      <c r="G101" s="46">
        <f t="shared" ref="G101" si="430">+IFERROR(G100/F100-1,"nm")</f>
        <v>-0.12</v>
      </c>
      <c r="H101" s="46">
        <f t="shared" ref="H101" si="431">+IFERROR(H100/G100-1,"nm")</f>
        <v>4.5454545454545414E-2</v>
      </c>
      <c r="I101" s="46">
        <f t="shared" ref="I101" si="432">+IFERROR(I100/H100-1,"nm")</f>
        <v>-0.10869565217391308</v>
      </c>
      <c r="J101" s="46">
        <f t="shared" ref="J101" si="433">+IFERROR(J100/I100-1,"nm")</f>
        <v>-8.6462042281551521E-2</v>
      </c>
      <c r="K101" s="46">
        <f t="shared" ref="K101" si="434">+IFERROR(K100/J100-1,"nm")</f>
        <v>-8.3485231446382979E-2</v>
      </c>
      <c r="L101" s="46">
        <f t="shared" ref="L101" si="435">+IFERROR(L100/K100-1,"nm")</f>
        <v>-8.0701579365102138E-2</v>
      </c>
      <c r="M101" s="46">
        <f t="shared" ref="M101" si="436">+IFERROR(M100/L100-1,"nm")</f>
        <v>-7.8113008394207983E-2</v>
      </c>
      <c r="N101" s="46">
        <f t="shared" ref="N101" si="437">+IFERROR(N100/M100-1,"nm")</f>
        <v>-7.5717895572238292E-2</v>
      </c>
    </row>
    <row r="102" spans="1:14" x14ac:dyDescent="0.3">
      <c r="A102" s="45" t="s">
        <v>133</v>
      </c>
      <c r="B102" s="46">
        <f>+IFERROR(B100/B$83,"nm")</f>
        <v>1.4998369742419302E-2</v>
      </c>
      <c r="C102" s="46">
        <f t="shared" ref="C102:N102" si="438">+IFERROR(C100/C$83,"nm")</f>
        <v>1.2681638044914135E-2</v>
      </c>
      <c r="D102" s="46">
        <f t="shared" si="438"/>
        <v>1.2744866650932263E-2</v>
      </c>
      <c r="E102" s="46">
        <f t="shared" si="438"/>
        <v>1.090767432800935E-2</v>
      </c>
      <c r="F102" s="46">
        <f t="shared" si="438"/>
        <v>8.0541237113402053E-3</v>
      </c>
      <c r="G102" s="46">
        <f t="shared" si="438"/>
        <v>6.5878125467884411E-3</v>
      </c>
      <c r="H102" s="46">
        <f t="shared" si="438"/>
        <v>5.5488540410132689E-3</v>
      </c>
      <c r="I102" s="46">
        <f t="shared" si="438"/>
        <v>5.4326222340002651E-3</v>
      </c>
      <c r="J102" s="46">
        <f t="shared" si="438"/>
        <v>5.432622234000266E-3</v>
      </c>
      <c r="K102" s="46">
        <f t="shared" si="438"/>
        <v>5.4326222340002643E-3</v>
      </c>
      <c r="L102" s="46">
        <f t="shared" si="438"/>
        <v>5.4326222340002651E-3</v>
      </c>
      <c r="M102" s="46">
        <f t="shared" si="438"/>
        <v>5.4326222340002651E-3</v>
      </c>
      <c r="N102" s="46">
        <f t="shared" si="438"/>
        <v>5.4326222340002643E-3</v>
      </c>
    </row>
    <row r="103" spans="1:14" x14ac:dyDescent="0.3">
      <c r="A103" s="45" t="s">
        <v>140</v>
      </c>
      <c r="B103" s="46">
        <f t="shared" ref="B103" si="439">+IFERROR(B100/B110,"nm")</f>
        <v>0.18110236220472442</v>
      </c>
      <c r="C103" s="46">
        <f t="shared" ref="C103:I103" si="440">+IFERROR(C100/C110,"nm")</f>
        <v>0.20512820512820512</v>
      </c>
      <c r="D103" s="46">
        <f t="shared" si="440"/>
        <v>0.24</v>
      </c>
      <c r="E103" s="46">
        <f t="shared" si="440"/>
        <v>0.21875</v>
      </c>
      <c r="F103" s="46">
        <f t="shared" si="440"/>
        <v>0.2109704641350211</v>
      </c>
      <c r="G103" s="46">
        <f t="shared" si="440"/>
        <v>0.20560747663551401</v>
      </c>
      <c r="H103" s="46">
        <f t="shared" si="440"/>
        <v>0.15972222222222221</v>
      </c>
      <c r="I103" s="46">
        <f t="shared" si="440"/>
        <v>0.13531353135313531</v>
      </c>
      <c r="J103" s="48">
        <f>+I103</f>
        <v>0.13531353135313531</v>
      </c>
      <c r="K103" s="48">
        <f t="shared" ref="K103" si="441">+J103</f>
        <v>0.13531353135313531</v>
      </c>
      <c r="L103" s="48">
        <f t="shared" ref="L103" si="442">+K103</f>
        <v>0.13531353135313531</v>
      </c>
      <c r="M103" s="48">
        <f t="shared" ref="M103" si="443">+L103</f>
        <v>0.13531353135313531</v>
      </c>
      <c r="N103" s="48">
        <f t="shared" ref="N103" si="444">+M103</f>
        <v>0.13531353135313531</v>
      </c>
    </row>
    <row r="104" spans="1:14" x14ac:dyDescent="0.3">
      <c r="A104" s="9" t="s">
        <v>134</v>
      </c>
      <c r="B104" s="9">
        <f>Historicals!B136</f>
        <v>993</v>
      </c>
      <c r="C104" s="9">
        <f>Historicals!C136</f>
        <v>1372</v>
      </c>
      <c r="D104" s="9">
        <f>Historicals!D136</f>
        <v>1507</v>
      </c>
      <c r="E104" s="9">
        <f>Historicals!E136</f>
        <v>1807</v>
      </c>
      <c r="F104" s="9">
        <f>Historicals!F136</f>
        <v>2376</v>
      </c>
      <c r="G104" s="9">
        <f>Historicals!G136</f>
        <v>2490</v>
      </c>
      <c r="H104" s="9">
        <f>Historicals!H136</f>
        <v>3243</v>
      </c>
      <c r="I104" s="9">
        <f>Historicals!I136</f>
        <v>2365</v>
      </c>
      <c r="J104" s="9">
        <f>+J97-J100</f>
        <v>2160.5172700041303</v>
      </c>
      <c r="K104" s="9">
        <f t="shared" ref="K104:N104" si="445">+K97-K100</f>
        <v>1980.1459856739282</v>
      </c>
      <c r="L104" s="9">
        <f t="shared" si="445"/>
        <v>1820.345077256575</v>
      </c>
      <c r="M104" s="9">
        <f t="shared" si="445"/>
        <v>1678.1524469564772</v>
      </c>
      <c r="N104" s="9">
        <f t="shared" si="445"/>
        <v>1551.0862752235305</v>
      </c>
    </row>
    <row r="105" spans="1:14" x14ac:dyDescent="0.3">
      <c r="A105" s="45" t="s">
        <v>129</v>
      </c>
      <c r="B105" s="46" t="str">
        <f t="shared" ref="B105" si="446">+IFERROR(B104/A104-1,"nm")</f>
        <v>nm</v>
      </c>
      <c r="C105" s="46">
        <f t="shared" ref="C105" si="447">+IFERROR(C104/B104-1,"nm")</f>
        <v>0.38167170191339372</v>
      </c>
      <c r="D105" s="46">
        <f t="shared" ref="D105" si="448">+IFERROR(D104/C104-1,"nm")</f>
        <v>9.8396501457725938E-2</v>
      </c>
      <c r="E105" s="46">
        <f t="shared" ref="E105" si="449">+IFERROR(E104/D104-1,"nm")</f>
        <v>0.19907100199071004</v>
      </c>
      <c r="F105" s="46">
        <f t="shared" ref="F105" si="450">+IFERROR(F104/E104-1,"nm")</f>
        <v>0.31488655229662421</v>
      </c>
      <c r="G105" s="46">
        <f t="shared" ref="G105" si="451">+IFERROR(G104/F104-1,"nm")</f>
        <v>4.7979797979798011E-2</v>
      </c>
      <c r="H105" s="46">
        <f t="shared" ref="H105" si="452">+IFERROR(H104/G104-1,"nm")</f>
        <v>0.30240963855421676</v>
      </c>
      <c r="I105" s="46">
        <f t="shared" ref="I105" si="453">+IFERROR(I104/H104-1,"nm")</f>
        <v>-0.27073697193956214</v>
      </c>
      <c r="J105" s="46">
        <f t="shared" ref="J105" si="454">+IFERROR(J104/I104-1,"nm")</f>
        <v>-8.6462042281551632E-2</v>
      </c>
      <c r="K105" s="46">
        <f t="shared" ref="K105" si="455">+IFERROR(K104/J104-1,"nm")</f>
        <v>-8.3485231446382868E-2</v>
      </c>
      <c r="L105" s="46">
        <f t="shared" ref="L105" si="456">+IFERROR(L104/K104-1,"nm")</f>
        <v>-8.0701579365102249E-2</v>
      </c>
      <c r="M105" s="46">
        <f t="shared" ref="M105" si="457">+IFERROR(M104/L104-1,"nm")</f>
        <v>-7.8113008394207872E-2</v>
      </c>
      <c r="N105" s="46">
        <f t="shared" ref="N105" si="458">+IFERROR(N104/M104-1,"nm")</f>
        <v>-7.5717895572238292E-2</v>
      </c>
    </row>
    <row r="106" spans="1:14" x14ac:dyDescent="0.3">
      <c r="A106" s="45" t="s">
        <v>131</v>
      </c>
      <c r="B106" s="46">
        <f>+IFERROR(B104/B$83,"nm")</f>
        <v>0.3237691555265732</v>
      </c>
      <c r="C106" s="46">
        <f t="shared" ref="C106:N106" si="459">+IFERROR(C104/C$83,"nm")</f>
        <v>0.36248348745046233</v>
      </c>
      <c r="D106" s="46">
        <f t="shared" si="459"/>
        <v>0.35567618598064671</v>
      </c>
      <c r="E106" s="46">
        <f t="shared" si="459"/>
        <v>0.35196727697701596</v>
      </c>
      <c r="F106" s="46">
        <f t="shared" si="459"/>
        <v>0.38273195876288657</v>
      </c>
      <c r="G106" s="46">
        <f t="shared" si="459"/>
        <v>0.37281030094325496</v>
      </c>
      <c r="H106" s="46">
        <f t="shared" si="459"/>
        <v>0.39119420989143544</v>
      </c>
      <c r="I106" s="46">
        <f t="shared" si="459"/>
        <v>0.31336955081489332</v>
      </c>
      <c r="J106" s="46">
        <f t="shared" si="459"/>
        <v>0.31336955081489332</v>
      </c>
      <c r="K106" s="46">
        <f t="shared" si="459"/>
        <v>0.31336955081489332</v>
      </c>
      <c r="L106" s="46">
        <f t="shared" si="459"/>
        <v>0.31336955081489332</v>
      </c>
      <c r="M106" s="46">
        <f t="shared" si="459"/>
        <v>0.31336955081489332</v>
      </c>
      <c r="N106" s="46">
        <f t="shared" si="459"/>
        <v>0.31336955081489332</v>
      </c>
    </row>
    <row r="107" spans="1:14" x14ac:dyDescent="0.3">
      <c r="A107" s="9" t="s">
        <v>135</v>
      </c>
      <c r="B107" s="9">
        <f>+Historicals!B158</f>
        <v>69</v>
      </c>
      <c r="C107" s="9">
        <f>+Historicals!C158</f>
        <v>44</v>
      </c>
      <c r="D107" s="9">
        <f>+Historicals!D158</f>
        <v>51</v>
      </c>
      <c r="E107" s="9">
        <f>+Historicals!E158</f>
        <v>76</v>
      </c>
      <c r="F107" s="9">
        <f>+Historicals!F158</f>
        <v>49</v>
      </c>
      <c r="G107" s="9">
        <f>+Historicals!G158</f>
        <v>28</v>
      </c>
      <c r="H107" s="9">
        <f>+Historicals!H158</f>
        <v>94</v>
      </c>
      <c r="I107" s="9">
        <f>+Historicals!I158</f>
        <v>78</v>
      </c>
      <c r="J107" s="47">
        <f>+J83*J109</f>
        <v>71.255960702038976</v>
      </c>
      <c r="K107" s="47">
        <f t="shared" ref="K107:N107" si="460">+K83*K109</f>
        <v>65.307140330894882</v>
      </c>
      <c r="L107" s="47">
        <f t="shared" si="460"/>
        <v>60.036750962373297</v>
      </c>
      <c r="M107" s="47">
        <f t="shared" si="460"/>
        <v>55.347099730488466</v>
      </c>
      <c r="N107" s="47">
        <f t="shared" si="460"/>
        <v>51.156333812869086</v>
      </c>
    </row>
    <row r="108" spans="1:14" x14ac:dyDescent="0.3">
      <c r="A108" s="45" t="s">
        <v>129</v>
      </c>
      <c r="B108" s="46" t="str">
        <f t="shared" ref="B108" si="461">+IFERROR(B107/A107-1,"nm")</f>
        <v>nm</v>
      </c>
      <c r="C108" s="46">
        <f t="shared" ref="C108" si="462">+IFERROR(C107/B107-1,"nm")</f>
        <v>-0.3623188405797102</v>
      </c>
      <c r="D108" s="46">
        <f t="shared" ref="D108" si="463">+IFERROR(D107/C107-1,"nm")</f>
        <v>0.15909090909090917</v>
      </c>
      <c r="E108" s="46">
        <f t="shared" ref="E108" si="464">+IFERROR(E107/D107-1,"nm")</f>
        <v>0.49019607843137258</v>
      </c>
      <c r="F108" s="46">
        <f t="shared" ref="F108" si="465">+IFERROR(F107/E107-1,"nm")</f>
        <v>-0.35526315789473684</v>
      </c>
      <c r="G108" s="46">
        <f t="shared" ref="G108" si="466">+IFERROR(G107/F107-1,"nm")</f>
        <v>-0.4285714285714286</v>
      </c>
      <c r="H108" s="46">
        <f t="shared" ref="H108" si="467">+IFERROR(H107/G107-1,"nm")</f>
        <v>2.3571428571428572</v>
      </c>
      <c r="I108" s="46">
        <f t="shared" ref="I108" si="468">+IFERROR(I107/H107-1,"nm")</f>
        <v>-0.17021276595744683</v>
      </c>
      <c r="J108" s="46">
        <f t="shared" ref="J108" si="469">+IFERROR(J107/I107-1,"nm")</f>
        <v>-8.6462042281551632E-2</v>
      </c>
      <c r="K108" s="46">
        <f t="shared" ref="K108" si="470">+IFERROR(K107/J107-1,"nm")</f>
        <v>-8.3485231446382979E-2</v>
      </c>
      <c r="L108" s="46">
        <f t="shared" ref="L108" si="471">+IFERROR(L107/K107-1,"nm")</f>
        <v>-8.0701579365102249E-2</v>
      </c>
      <c r="M108" s="46">
        <f t="shared" ref="M108" si="472">+IFERROR(M107/L107-1,"nm")</f>
        <v>-7.8113008394207872E-2</v>
      </c>
      <c r="N108" s="46">
        <f t="shared" ref="N108" si="473">+IFERROR(N107/M107-1,"nm")</f>
        <v>-7.5717895572238181E-2</v>
      </c>
    </row>
    <row r="109" spans="1:14" x14ac:dyDescent="0.3">
      <c r="A109" s="45" t="s">
        <v>133</v>
      </c>
      <c r="B109" s="46">
        <f>+IFERROR(B107/B$83,"nm")</f>
        <v>2.2497554613628953E-2</v>
      </c>
      <c r="C109" s="46">
        <f t="shared" ref="C109:I109" si="474">+IFERROR(C107/C$83,"nm")</f>
        <v>1.1624834874504624E-2</v>
      </c>
      <c r="D109" s="46">
        <f t="shared" si="474"/>
        <v>1.2036818503658248E-2</v>
      </c>
      <c r="E109" s="46">
        <f t="shared" si="474"/>
        <v>1.4803272302298403E-2</v>
      </c>
      <c r="F109" s="46">
        <f t="shared" si="474"/>
        <v>7.8930412371134018E-3</v>
      </c>
      <c r="G109" s="46">
        <f t="shared" si="474"/>
        <v>4.1922443479562805E-3</v>
      </c>
      <c r="H109" s="46">
        <f t="shared" si="474"/>
        <v>1.1338962605548853E-2</v>
      </c>
      <c r="I109" s="46">
        <f t="shared" si="474"/>
        <v>1.0335232542732211E-2</v>
      </c>
      <c r="J109" s="48">
        <f>+I109</f>
        <v>1.0335232542732211E-2</v>
      </c>
      <c r="K109" s="48">
        <f t="shared" ref="K109" si="475">+J109</f>
        <v>1.0335232542732211E-2</v>
      </c>
      <c r="L109" s="48">
        <f t="shared" ref="L109" si="476">+K109</f>
        <v>1.0335232542732211E-2</v>
      </c>
      <c r="M109" s="48">
        <f t="shared" ref="M109" si="477">+L109</f>
        <v>1.0335232542732211E-2</v>
      </c>
      <c r="N109" s="48">
        <f t="shared" ref="N109" si="478">+M109</f>
        <v>1.0335232542732211E-2</v>
      </c>
    </row>
    <row r="110" spans="1:14" x14ac:dyDescent="0.3">
      <c r="A110" s="9" t="s">
        <v>141</v>
      </c>
      <c r="B110" s="9">
        <f>+Historicals!B147</f>
        <v>254</v>
      </c>
      <c r="C110" s="9">
        <f>+Historicals!C147</f>
        <v>234</v>
      </c>
      <c r="D110" s="9">
        <f>+Historicals!D147</f>
        <v>225</v>
      </c>
      <c r="E110" s="9">
        <f>+Historicals!E147</f>
        <v>256</v>
      </c>
      <c r="F110" s="9">
        <f>+Historicals!F147</f>
        <v>237</v>
      </c>
      <c r="G110" s="9">
        <f>+Historicals!G147</f>
        <v>214</v>
      </c>
      <c r="H110" s="9">
        <f>+Historicals!H147</f>
        <v>288</v>
      </c>
      <c r="I110" s="9">
        <f>+Historicals!I147</f>
        <v>303</v>
      </c>
      <c r="J110" s="47">
        <f>+J83*J112</f>
        <v>276.80200118868987</v>
      </c>
      <c r="K110" s="47">
        <f t="shared" ref="K110:N110" si="479">+K83*K112</f>
        <v>253.69312205463015</v>
      </c>
      <c r="L110" s="47">
        <f t="shared" si="479"/>
        <v>233.21968643075783</v>
      </c>
      <c r="M110" s="47">
        <f t="shared" si="479"/>
        <v>215.00219510689752</v>
      </c>
      <c r="N110" s="47">
        <f t="shared" si="479"/>
        <v>198.72268134999143</v>
      </c>
    </row>
    <row r="111" spans="1:14" x14ac:dyDescent="0.3">
      <c r="A111" s="45" t="s">
        <v>129</v>
      </c>
      <c r="B111" s="46" t="str">
        <f t="shared" ref="B111" si="480">+IFERROR(B110/A110-1,"nm")</f>
        <v>nm</v>
      </c>
      <c r="C111" s="46">
        <f t="shared" ref="C111" si="481">+IFERROR(C110/B110-1,"nm")</f>
        <v>-7.8740157480314932E-2</v>
      </c>
      <c r="D111" s="46">
        <f t="shared" ref="D111" si="482">+IFERROR(D110/C110-1,"nm")</f>
        <v>-3.8461538461538436E-2</v>
      </c>
      <c r="E111" s="46">
        <f t="shared" ref="E111" si="483">+IFERROR(E110/D110-1,"nm")</f>
        <v>0.13777777777777778</v>
      </c>
      <c r="F111" s="46">
        <f t="shared" ref="F111" si="484">+IFERROR(F110/E110-1,"nm")</f>
        <v>-7.421875E-2</v>
      </c>
      <c r="G111" s="46">
        <f t="shared" ref="G111" si="485">+IFERROR(G110/F110-1,"nm")</f>
        <v>-9.7046413502109741E-2</v>
      </c>
      <c r="H111" s="46">
        <f t="shared" ref="H111" si="486">+IFERROR(H110/G110-1,"nm")</f>
        <v>0.34579439252336441</v>
      </c>
      <c r="I111" s="46">
        <f t="shared" ref="I111" si="487">+IFERROR(I110/H110-1,"nm")</f>
        <v>5.2083333333333259E-2</v>
      </c>
      <c r="J111" s="46">
        <f t="shared" ref="J111" si="488">+IFERROR(J110/I110-1,"nm")</f>
        <v>-8.6462042281551632E-2</v>
      </c>
      <c r="K111" s="46">
        <f t="shared" ref="K111" si="489">+IFERROR(K110/J110-1,"nm")</f>
        <v>-8.3485231446382868E-2</v>
      </c>
      <c r="L111" s="46">
        <f t="shared" ref="L111" si="490">+IFERROR(L110/K110-1,"nm")</f>
        <v>-8.0701579365102249E-2</v>
      </c>
      <c r="M111" s="46">
        <f t="shared" ref="M111" si="491">+IFERROR(M110/L110-1,"nm")</f>
        <v>-7.8113008394207872E-2</v>
      </c>
      <c r="N111" s="46">
        <f t="shared" ref="N111" si="492">+IFERROR(N110/M110-1,"nm")</f>
        <v>-7.5717895572238403E-2</v>
      </c>
    </row>
    <row r="112" spans="1:14" x14ac:dyDescent="0.3">
      <c r="A112" s="45" t="s">
        <v>133</v>
      </c>
      <c r="B112" s="46">
        <f>+IFERROR(B110/B$83,"nm")</f>
        <v>8.2817085099445714E-2</v>
      </c>
      <c r="C112" s="46">
        <f t="shared" ref="C112:I112" si="493">+IFERROR(C110/C$83,"nm")</f>
        <v>6.1822985468956405E-2</v>
      </c>
      <c r="D112" s="46">
        <f t="shared" si="493"/>
        <v>5.31036110455511E-2</v>
      </c>
      <c r="E112" s="46">
        <f t="shared" si="493"/>
        <v>4.9863654070899883E-2</v>
      </c>
      <c r="F112" s="46">
        <f t="shared" si="493"/>
        <v>3.817654639175258E-2</v>
      </c>
      <c r="G112" s="46">
        <f t="shared" si="493"/>
        <v>3.2040724659380147E-2</v>
      </c>
      <c r="H112" s="46">
        <f t="shared" si="493"/>
        <v>3.4740651387213509E-2</v>
      </c>
      <c r="I112" s="46">
        <f t="shared" si="493"/>
        <v>4.0148403339075128E-2</v>
      </c>
      <c r="J112" s="48">
        <f>+I112</f>
        <v>4.0148403339075128E-2</v>
      </c>
      <c r="K112" s="48">
        <f t="shared" ref="K112" si="494">+J112</f>
        <v>4.0148403339075128E-2</v>
      </c>
      <c r="L112" s="48">
        <f t="shared" ref="L112" si="495">+K112</f>
        <v>4.0148403339075128E-2</v>
      </c>
      <c r="M112" s="48">
        <f t="shared" ref="M112" si="496">+L112</f>
        <v>4.0148403339075128E-2</v>
      </c>
      <c r="N112" s="48">
        <f t="shared" ref="N112" si="497">+M112</f>
        <v>4.0148403339075128E-2</v>
      </c>
    </row>
    <row r="113" spans="1:14" x14ac:dyDescent="0.3">
      <c r="A113" s="42" t="s">
        <v>106</v>
      </c>
      <c r="B113" s="42"/>
      <c r="C113" s="42"/>
      <c r="D113" s="42"/>
      <c r="E113" s="42"/>
      <c r="F113" s="42"/>
      <c r="G113" s="42"/>
      <c r="H113" s="42"/>
      <c r="I113" s="42"/>
      <c r="J113" s="38"/>
      <c r="K113" s="38"/>
      <c r="L113" s="38"/>
      <c r="M113" s="38"/>
      <c r="N113" s="38"/>
    </row>
    <row r="114" spans="1:14" x14ac:dyDescent="0.3">
      <c r="A114" s="9" t="s">
        <v>136</v>
      </c>
      <c r="B114" s="9">
        <f>+Historicals!B119</f>
        <v>4653</v>
      </c>
      <c r="C114" s="9">
        <f>+Historicals!C119</f>
        <v>4317</v>
      </c>
      <c r="D114" s="9">
        <f>+Historicals!D119</f>
        <v>4737</v>
      </c>
      <c r="E114" s="9">
        <f>+Historicals!E119</f>
        <v>5166</v>
      </c>
      <c r="F114" s="9">
        <f>+Historicals!F119</f>
        <v>5254</v>
      </c>
      <c r="G114" s="9">
        <f>+Historicals!G119</f>
        <v>5028</v>
      </c>
      <c r="H114" s="9">
        <f>+Historicals!H119</f>
        <v>5343</v>
      </c>
      <c r="I114" s="9">
        <f>+Historicals!I119</f>
        <v>5955</v>
      </c>
      <c r="J114" s="9">
        <f>+SUM(J116+J120+J124)</f>
        <v>6642.0321878953409</v>
      </c>
      <c r="K114" s="9">
        <f t="shared" ref="K114:N114" si="498">+SUM(K116+K120+K124)</f>
        <v>7414.0530267269323</v>
      </c>
      <c r="L114" s="9">
        <f t="shared" si="498"/>
        <v>8282.4717792191896</v>
      </c>
      <c r="M114" s="9">
        <f t="shared" si="498"/>
        <v>9260.3865247672165</v>
      </c>
      <c r="N114" s="9">
        <f t="shared" si="498"/>
        <v>10362.862811439367</v>
      </c>
    </row>
    <row r="115" spans="1:14" x14ac:dyDescent="0.3">
      <c r="A115" s="43" t="s">
        <v>129</v>
      </c>
      <c r="B115" s="46" t="str">
        <f t="shared" ref="B115" si="499">+IFERROR(B114/A114-1,"nm")</f>
        <v>nm</v>
      </c>
      <c r="C115" s="46">
        <f t="shared" ref="C115" si="500">+IFERROR(C114/B114-1,"nm")</f>
        <v>-7.2211476466795599E-2</v>
      </c>
      <c r="D115" s="46">
        <f t="shared" ref="D115" si="501">+IFERROR(D114/C114-1,"nm")</f>
        <v>9.7289784572619942E-2</v>
      </c>
      <c r="E115" s="46">
        <f t="shared" ref="E115" si="502">+IFERROR(E114/D114-1,"nm")</f>
        <v>9.0563647878403986E-2</v>
      </c>
      <c r="F115" s="46">
        <f t="shared" ref="F115" si="503">+IFERROR(F114/E114-1,"nm")</f>
        <v>1.7034456058846237E-2</v>
      </c>
      <c r="G115" s="46">
        <f t="shared" ref="G115" si="504">+IFERROR(G114/F114-1,"nm")</f>
        <v>-4.3014845831747195E-2</v>
      </c>
      <c r="H115" s="46">
        <f t="shared" ref="H115" si="505">+IFERROR(H114/G114-1,"nm")</f>
        <v>6.2649164677804237E-2</v>
      </c>
      <c r="I115" s="46">
        <f t="shared" ref="I115" si="506">+IFERROR(I114/H114-1,"nm")</f>
        <v>0.11454239191465465</v>
      </c>
      <c r="J115" s="46">
        <f t="shared" ref="J115" si="507">+IFERROR(J114/I114-1,"nm")</f>
        <v>0.11537064448284484</v>
      </c>
      <c r="K115" s="46">
        <f t="shared" ref="K115" si="508">+IFERROR(K114/J114-1,"nm")</f>
        <v>0.11623262534598178</v>
      </c>
      <c r="L115" s="46">
        <f t="shared" ref="L115" si="509">+IFERROR(L114/K114-1,"nm")</f>
        <v>0.11713144610130155</v>
      </c>
      <c r="M115" s="46">
        <f t="shared" ref="M115" si="510">+IFERROR(M114/L114-1,"nm")</f>
        <v>0.11807039874275516</v>
      </c>
      <c r="N115" s="46">
        <f t="shared" ref="N115" si="511">+IFERROR(N114/M114-1,"nm")</f>
        <v>0.11905294489852447</v>
      </c>
    </row>
    <row r="116" spans="1:14" x14ac:dyDescent="0.3">
      <c r="A116" s="44" t="s">
        <v>113</v>
      </c>
      <c r="B116" s="3">
        <f>+Historicals!B120</f>
        <v>3093</v>
      </c>
      <c r="C116" s="3">
        <f>+Historicals!C120</f>
        <v>2930</v>
      </c>
      <c r="D116" s="3">
        <f>+Historicals!D120</f>
        <v>3285</v>
      </c>
      <c r="E116" s="3">
        <f>+Historicals!E120</f>
        <v>3575</v>
      </c>
      <c r="F116" s="3">
        <f>+Historicals!F120</f>
        <v>3622</v>
      </c>
      <c r="G116" s="3">
        <f>+Historicals!G120</f>
        <v>3449</v>
      </c>
      <c r="H116" s="3">
        <f>+Historicals!H120</f>
        <v>3659</v>
      </c>
      <c r="I116" s="3">
        <f>+Historicals!I120</f>
        <v>4111</v>
      </c>
      <c r="J116" s="3">
        <f>+I116*(1+J117)</f>
        <v>4618.8360207707019</v>
      </c>
      <c r="K116" s="3">
        <f t="shared" ref="K116" si="512">+J116*(1+K117)</f>
        <v>5189.4055428773854</v>
      </c>
      <c r="L116" s="3">
        <f t="shared" ref="L116" si="513">+K116*(1+L117)</f>
        <v>5830.4580996908799</v>
      </c>
      <c r="M116" s="3">
        <f t="shared" ref="M116" si="514">+L116*(1+M117)</f>
        <v>6550.7005323392195</v>
      </c>
      <c r="N116" s="3">
        <f t="shared" ref="N116" si="515">+M116*(1+N117)</f>
        <v>7359.9152469107757</v>
      </c>
    </row>
    <row r="117" spans="1:14" x14ac:dyDescent="0.3">
      <c r="A117" s="43" t="s">
        <v>129</v>
      </c>
      <c r="B117" s="46" t="str">
        <f>+IFERROR(B116/A116-1,"nm")</f>
        <v>nm</v>
      </c>
      <c r="C117" s="46">
        <f t="shared" ref="C117:I117" si="516">+IFERROR(C116/B116-1,"nm")</f>
        <v>-5.269964435822827E-2</v>
      </c>
      <c r="D117" s="46">
        <f t="shared" si="516"/>
        <v>0.12116040955631391</v>
      </c>
      <c r="E117" s="46">
        <f t="shared" si="516"/>
        <v>8.8280060882800715E-2</v>
      </c>
      <c r="F117" s="46">
        <f t="shared" si="516"/>
        <v>1.3146853146853044E-2</v>
      </c>
      <c r="G117" s="46">
        <f t="shared" si="516"/>
        <v>-4.7763666482606326E-2</v>
      </c>
      <c r="H117" s="46">
        <f t="shared" si="516"/>
        <v>6.0887213685126174E-2</v>
      </c>
      <c r="I117" s="46">
        <f t="shared" si="516"/>
        <v>0.12353101940420874</v>
      </c>
      <c r="J117" s="46">
        <f>+J118+J119</f>
        <v>0.12353101940420874</v>
      </c>
      <c r="K117" s="46">
        <f t="shared" ref="K117:N117" si="517">+K118+K119</f>
        <v>0.12353101940420874</v>
      </c>
      <c r="L117" s="46">
        <f t="shared" si="517"/>
        <v>0.12353101940420874</v>
      </c>
      <c r="M117" s="46">
        <f t="shared" si="517"/>
        <v>0.12353101940420874</v>
      </c>
      <c r="N117" s="46">
        <f t="shared" si="517"/>
        <v>0.12353101940420874</v>
      </c>
    </row>
    <row r="118" spans="1:14" x14ac:dyDescent="0.3">
      <c r="A118" s="43" t="s">
        <v>137</v>
      </c>
      <c r="B118" s="46" t="str">
        <f>+Historicals!B192</f>
        <v>nm</v>
      </c>
      <c r="C118" s="46">
        <f>+Historicals!C192</f>
        <v>-5.269964435822827E-2</v>
      </c>
      <c r="D118" s="46">
        <f>+Historicals!D192</f>
        <v>0.12116040955631391</v>
      </c>
      <c r="E118" s="46">
        <f>+Historicals!E192</f>
        <v>8.8280060882800715E-2</v>
      </c>
      <c r="F118" s="46">
        <f>+Historicals!F192</f>
        <v>1.3146853146853044E-2</v>
      </c>
      <c r="G118" s="46">
        <f>+Historicals!G192</f>
        <v>-4.7763666482606326E-2</v>
      </c>
      <c r="H118" s="46">
        <f>+Historicals!H192</f>
        <v>6.0887213685126174E-2</v>
      </c>
      <c r="I118" s="46">
        <f>+Historicals!I192</f>
        <v>0.12353101940420874</v>
      </c>
      <c r="J118" s="75">
        <f>I118</f>
        <v>0.12353101940420874</v>
      </c>
      <c r="K118" s="75">
        <f t="shared" ref="K118:K119" si="518">+J118</f>
        <v>0.12353101940420874</v>
      </c>
      <c r="L118" s="75">
        <f t="shared" ref="L118:L119" si="519">+K118</f>
        <v>0.12353101940420874</v>
      </c>
      <c r="M118" s="75">
        <f t="shared" ref="M118:M119" si="520">+L118</f>
        <v>0.12353101940420874</v>
      </c>
      <c r="N118" s="75">
        <f t="shared" ref="N118:N119" si="521">+M118</f>
        <v>0.12353101940420874</v>
      </c>
    </row>
    <row r="119" spans="1:14" x14ac:dyDescent="0.3">
      <c r="A119" s="43" t="s">
        <v>138</v>
      </c>
      <c r="B119" s="46" t="str">
        <f t="shared" ref="B119" si="522">+IFERROR(B117-B118,"nm")</f>
        <v>nm</v>
      </c>
      <c r="C119" s="46">
        <f t="shared" ref="C119:I119" si="523">+IFERROR(C117-C118,"nm")</f>
        <v>0</v>
      </c>
      <c r="D119" s="46">
        <f t="shared" si="523"/>
        <v>0</v>
      </c>
      <c r="E119" s="46">
        <f t="shared" si="523"/>
        <v>0</v>
      </c>
      <c r="F119" s="46">
        <f t="shared" si="523"/>
        <v>0</v>
      </c>
      <c r="G119" s="46">
        <f t="shared" si="523"/>
        <v>0</v>
      </c>
      <c r="H119" s="46">
        <f t="shared" si="523"/>
        <v>0</v>
      </c>
      <c r="I119" s="46">
        <f t="shared" si="523"/>
        <v>0</v>
      </c>
      <c r="J119" s="48">
        <v>0</v>
      </c>
      <c r="K119" s="48">
        <f t="shared" si="518"/>
        <v>0</v>
      </c>
      <c r="L119" s="48">
        <f t="shared" si="519"/>
        <v>0</v>
      </c>
      <c r="M119" s="48">
        <f t="shared" si="520"/>
        <v>0</v>
      </c>
      <c r="N119" s="48">
        <f t="shared" si="521"/>
        <v>0</v>
      </c>
    </row>
    <row r="120" spans="1:14" x14ac:dyDescent="0.3">
      <c r="A120" s="44" t="s">
        <v>114</v>
      </c>
      <c r="B120" s="3">
        <f>+Historicals!B121</f>
        <v>1251</v>
      </c>
      <c r="C120" s="3">
        <f>+Historicals!C121</f>
        <v>1117</v>
      </c>
      <c r="D120" s="3">
        <f>+Historicals!D121</f>
        <v>1185</v>
      </c>
      <c r="E120" s="3">
        <f>+Historicals!E121</f>
        <v>1347</v>
      </c>
      <c r="F120" s="3">
        <f>+Historicals!F121</f>
        <v>1395</v>
      </c>
      <c r="G120" s="3">
        <f>+Historicals!G121</f>
        <v>1365</v>
      </c>
      <c r="H120" s="3">
        <f>+Historicals!H121</f>
        <v>1494</v>
      </c>
      <c r="I120" s="3">
        <f>+Historicals!I121</f>
        <v>1610</v>
      </c>
      <c r="J120" s="3">
        <f>+I120*(1+J121)</f>
        <v>1735.0066934404285</v>
      </c>
      <c r="K120" s="3">
        <f t="shared" ref="K120" si="524">+J120*(1+K121)</f>
        <v>1869.7193952068876</v>
      </c>
      <c r="L120" s="3">
        <f t="shared" ref="L120" si="525">+K120*(1+L121)</f>
        <v>2014.8917177262981</v>
      </c>
      <c r="M120" s="3">
        <f t="shared" ref="M120" si="526">+L120*(1+M121)</f>
        <v>2171.3357868402545</v>
      </c>
      <c r="N120" s="3">
        <f t="shared" ref="N120" si="527">+M120*(1+N121)</f>
        <v>2339.9267850152678</v>
      </c>
    </row>
    <row r="121" spans="1:14" x14ac:dyDescent="0.3">
      <c r="A121" s="43" t="s">
        <v>129</v>
      </c>
      <c r="B121" s="46" t="str">
        <f t="shared" ref="B121" si="528">+IFERROR(B120/A120-1,"nm")</f>
        <v>nm</v>
      </c>
      <c r="C121" s="46">
        <f t="shared" ref="C121" si="529">+IFERROR(C120/B120-1,"nm")</f>
        <v>-0.10711430855315751</v>
      </c>
      <c r="D121" s="46">
        <f t="shared" ref="D121" si="530">+IFERROR(D120/C120-1,"nm")</f>
        <v>6.0877350044762801E-2</v>
      </c>
      <c r="E121" s="46">
        <f t="shared" ref="E121" si="531">+IFERROR(E120/D120-1,"nm")</f>
        <v>0.13670886075949373</v>
      </c>
      <c r="F121" s="46">
        <f t="shared" ref="F121" si="532">+IFERROR(F120/E120-1,"nm")</f>
        <v>3.563474387527843E-2</v>
      </c>
      <c r="G121" s="46">
        <f t="shared" ref="G121" si="533">+IFERROR(G120/F120-1,"nm")</f>
        <v>-2.1505376344086002E-2</v>
      </c>
      <c r="H121" s="46">
        <f t="shared" ref="H121" si="534">+IFERROR(H120/G120-1,"nm")</f>
        <v>9.4505494505494614E-2</v>
      </c>
      <c r="I121" s="46">
        <f t="shared" ref="I121" si="535">+IFERROR(I120/H120-1,"nm")</f>
        <v>7.7643908969210251E-2</v>
      </c>
      <c r="J121" s="46">
        <f>+J122+J123</f>
        <v>7.7643908969210251E-2</v>
      </c>
      <c r="K121" s="46">
        <f t="shared" ref="K121:N121" si="536">+K122+K123</f>
        <v>7.7643908969210251E-2</v>
      </c>
      <c r="L121" s="46">
        <f t="shared" si="536"/>
        <v>7.7643908969210251E-2</v>
      </c>
      <c r="M121" s="46">
        <f t="shared" si="536"/>
        <v>7.7643908969210251E-2</v>
      </c>
      <c r="N121" s="46">
        <f t="shared" si="536"/>
        <v>7.7643908969210251E-2</v>
      </c>
    </row>
    <row r="122" spans="1:14" x14ac:dyDescent="0.3">
      <c r="A122" s="43" t="s">
        <v>137</v>
      </c>
      <c r="B122" s="46" t="str">
        <f>+Historicals!B193</f>
        <v>nm</v>
      </c>
      <c r="C122" s="46">
        <f>+Historicals!C193</f>
        <v>-0.10711430855315751</v>
      </c>
      <c r="D122" s="46">
        <f>+Historicals!D193</f>
        <v>6.0877350044762801E-2</v>
      </c>
      <c r="E122" s="46">
        <f>+Historicals!E193</f>
        <v>0.13670886075949373</v>
      </c>
      <c r="F122" s="46">
        <f>+Historicals!F193</f>
        <v>3.563474387527843E-2</v>
      </c>
      <c r="G122" s="46">
        <f>+Historicals!G193</f>
        <v>-2.1505376344086002E-2</v>
      </c>
      <c r="H122" s="46">
        <f>+Historicals!H193</f>
        <v>9.4505494505494614E-2</v>
      </c>
      <c r="I122" s="46">
        <f>+Historicals!I193</f>
        <v>7.7643908969210251E-2</v>
      </c>
      <c r="J122" s="75">
        <f>I122</f>
        <v>7.7643908969210251E-2</v>
      </c>
      <c r="K122" s="75">
        <f t="shared" ref="K122:K123" si="537">+J122</f>
        <v>7.7643908969210251E-2</v>
      </c>
      <c r="L122" s="75">
        <f t="shared" ref="L122:L123" si="538">+K122</f>
        <v>7.7643908969210251E-2</v>
      </c>
      <c r="M122" s="75">
        <f t="shared" ref="M122:M123" si="539">+L122</f>
        <v>7.7643908969210251E-2</v>
      </c>
      <c r="N122" s="75">
        <f t="shared" ref="N122:N123" si="540">+M122</f>
        <v>7.7643908969210251E-2</v>
      </c>
    </row>
    <row r="123" spans="1:14" x14ac:dyDescent="0.3">
      <c r="A123" s="43" t="s">
        <v>138</v>
      </c>
      <c r="B123" s="46" t="str">
        <f t="shared" ref="B123" si="541">+IFERROR(B121-B122,"nm")</f>
        <v>nm</v>
      </c>
      <c r="C123" s="46">
        <f t="shared" ref="C123:I123" si="542">+IFERROR(C121-C122,"nm")</f>
        <v>0</v>
      </c>
      <c r="D123" s="46">
        <f t="shared" si="542"/>
        <v>0</v>
      </c>
      <c r="E123" s="46">
        <f t="shared" si="542"/>
        <v>0</v>
      </c>
      <c r="F123" s="46">
        <f t="shared" si="542"/>
        <v>0</v>
      </c>
      <c r="G123" s="46">
        <f t="shared" si="542"/>
        <v>0</v>
      </c>
      <c r="H123" s="46">
        <f t="shared" si="542"/>
        <v>0</v>
      </c>
      <c r="I123" s="46">
        <f t="shared" si="542"/>
        <v>0</v>
      </c>
      <c r="J123" s="48">
        <v>0</v>
      </c>
      <c r="K123" s="48">
        <f t="shared" si="537"/>
        <v>0</v>
      </c>
      <c r="L123" s="48">
        <f t="shared" si="538"/>
        <v>0</v>
      </c>
      <c r="M123" s="48">
        <f t="shared" si="539"/>
        <v>0</v>
      </c>
      <c r="N123" s="48">
        <f t="shared" si="540"/>
        <v>0</v>
      </c>
    </row>
    <row r="124" spans="1:14" x14ac:dyDescent="0.3">
      <c r="A124" s="44" t="s">
        <v>115</v>
      </c>
      <c r="B124" s="3">
        <f>+Historicals!B122</f>
        <v>309</v>
      </c>
      <c r="C124" s="3">
        <f>+Historicals!C122</f>
        <v>270</v>
      </c>
      <c r="D124" s="3">
        <f>+Historicals!D122</f>
        <v>267</v>
      </c>
      <c r="E124" s="3">
        <f>+Historicals!E122</f>
        <v>244</v>
      </c>
      <c r="F124" s="3">
        <f>+Historicals!F122</f>
        <v>237</v>
      </c>
      <c r="G124" s="3">
        <f>+Historicals!G122</f>
        <v>214</v>
      </c>
      <c r="H124" s="3">
        <f>+Historicals!H122</f>
        <v>190</v>
      </c>
      <c r="I124" s="3">
        <f>+Historicals!I122</f>
        <v>234</v>
      </c>
      <c r="J124" s="3">
        <f>+I124*(1+J125)</f>
        <v>288.18947368421055</v>
      </c>
      <c r="K124" s="3">
        <f t="shared" ref="K124" si="543">+J124*(1+K125)</f>
        <v>354.9280886426593</v>
      </c>
      <c r="L124" s="3">
        <f t="shared" ref="L124" si="544">+K124*(1+L125)</f>
        <v>437.12196180201198</v>
      </c>
      <c r="M124" s="3">
        <f t="shared" ref="M124" si="545">+L124*(1+M125)</f>
        <v>538.35020558774113</v>
      </c>
      <c r="N124" s="3">
        <f t="shared" ref="N124" si="546">+M124*(1+N125)</f>
        <v>663.0207795133233</v>
      </c>
    </row>
    <row r="125" spans="1:14" x14ac:dyDescent="0.3">
      <c r="A125" s="43" t="s">
        <v>129</v>
      </c>
      <c r="B125" s="46" t="str">
        <f t="shared" ref="B125" si="547">+IFERROR(B124/A124-1,"nm")</f>
        <v>nm</v>
      </c>
      <c r="C125" s="46">
        <f t="shared" ref="C125" si="548">+IFERROR(C124/B124-1,"nm")</f>
        <v>-0.12621359223300976</v>
      </c>
      <c r="D125" s="46">
        <f t="shared" ref="D125" si="549">+IFERROR(D124/C124-1,"nm")</f>
        <v>-1.1111111111111072E-2</v>
      </c>
      <c r="E125" s="46">
        <f t="shared" ref="E125" si="550">+IFERROR(E124/D124-1,"nm")</f>
        <v>-8.6142322097378266E-2</v>
      </c>
      <c r="F125" s="46">
        <f t="shared" ref="F125" si="551">+IFERROR(F124/E124-1,"nm")</f>
        <v>-2.8688524590163911E-2</v>
      </c>
      <c r="G125" s="46">
        <f t="shared" ref="G125" si="552">+IFERROR(G124/F124-1,"nm")</f>
        <v>-9.7046413502109741E-2</v>
      </c>
      <c r="H125" s="46">
        <f t="shared" ref="H125" si="553">+IFERROR(H124/G124-1,"nm")</f>
        <v>-0.11214953271028039</v>
      </c>
      <c r="I125" s="46">
        <f t="shared" ref="I125" si="554">+IFERROR(I124/H124-1,"nm")</f>
        <v>0.23157894736842111</v>
      </c>
      <c r="J125" s="46">
        <f>+J126+J127</f>
        <v>0.23157894736842111</v>
      </c>
      <c r="K125" s="46">
        <f t="shared" ref="K125:N125" si="555">+K126+K127</f>
        <v>0.23157894736842111</v>
      </c>
      <c r="L125" s="46">
        <f t="shared" si="555"/>
        <v>0.23157894736842111</v>
      </c>
      <c r="M125" s="46">
        <f t="shared" si="555"/>
        <v>0.23157894736842111</v>
      </c>
      <c r="N125" s="46">
        <f t="shared" si="555"/>
        <v>0.23157894736842111</v>
      </c>
    </row>
    <row r="126" spans="1:14" x14ac:dyDescent="0.3">
      <c r="A126" s="43" t="s">
        <v>137</v>
      </c>
      <c r="B126" s="46" t="str">
        <f>+Historicals!B194</f>
        <v>nm</v>
      </c>
      <c r="C126" s="46">
        <f>+Historicals!C194</f>
        <v>-0.12621359223300976</v>
      </c>
      <c r="D126" s="46">
        <f>+Historicals!D194</f>
        <v>-1.1111111111111072E-2</v>
      </c>
      <c r="E126" s="46">
        <f>+Historicals!E194</f>
        <v>-8.6142322097378266E-2</v>
      </c>
      <c r="F126" s="46">
        <f>+Historicals!F194</f>
        <v>-2.8688524590163911E-2</v>
      </c>
      <c r="G126" s="46">
        <f>+Historicals!G194</f>
        <v>-9.7046413502109741E-2</v>
      </c>
      <c r="H126" s="46">
        <f>+Historicals!H194</f>
        <v>-0.11214953271028039</v>
      </c>
      <c r="I126" s="46">
        <f>+Historicals!I194</f>
        <v>0.23157894736842111</v>
      </c>
      <c r="J126" s="75">
        <f>I126</f>
        <v>0.23157894736842111</v>
      </c>
      <c r="K126" s="75">
        <f t="shared" ref="K126:K127" si="556">+J126</f>
        <v>0.23157894736842111</v>
      </c>
      <c r="L126" s="75">
        <f t="shared" ref="L126:L127" si="557">+K126</f>
        <v>0.23157894736842111</v>
      </c>
      <c r="M126" s="75">
        <f t="shared" ref="M126:M127" si="558">+L126</f>
        <v>0.23157894736842111</v>
      </c>
      <c r="N126" s="75">
        <f t="shared" ref="N126:N127" si="559">+M126</f>
        <v>0.23157894736842111</v>
      </c>
    </row>
    <row r="127" spans="1:14" x14ac:dyDescent="0.3">
      <c r="A127" s="43" t="s">
        <v>138</v>
      </c>
      <c r="B127" s="46" t="str">
        <f t="shared" ref="B127" si="560">+IFERROR(B125-B126,"nm")</f>
        <v>nm</v>
      </c>
      <c r="C127" s="46">
        <f t="shared" ref="C127:I127" si="561">+IFERROR(C125-C126,"nm")</f>
        <v>0</v>
      </c>
      <c r="D127" s="46">
        <f t="shared" si="561"/>
        <v>0</v>
      </c>
      <c r="E127" s="46">
        <f t="shared" si="561"/>
        <v>0</v>
      </c>
      <c r="F127" s="46">
        <f t="shared" si="561"/>
        <v>0</v>
      </c>
      <c r="G127" s="46">
        <f t="shared" si="561"/>
        <v>0</v>
      </c>
      <c r="H127" s="46">
        <f t="shared" si="561"/>
        <v>0</v>
      </c>
      <c r="I127" s="46">
        <f t="shared" si="561"/>
        <v>0</v>
      </c>
      <c r="J127" s="48">
        <v>0</v>
      </c>
      <c r="K127" s="48">
        <f t="shared" si="556"/>
        <v>0</v>
      </c>
      <c r="L127" s="48">
        <f t="shared" si="557"/>
        <v>0</v>
      </c>
      <c r="M127" s="48">
        <f t="shared" si="558"/>
        <v>0</v>
      </c>
      <c r="N127" s="48">
        <f t="shared" si="559"/>
        <v>0</v>
      </c>
    </row>
    <row r="128" spans="1:14" x14ac:dyDescent="0.3">
      <c r="A128" s="9" t="s">
        <v>130</v>
      </c>
      <c r="B128" s="47">
        <f t="shared" ref="B128" si="562">+B135+B131</f>
        <v>967</v>
      </c>
      <c r="C128" s="47">
        <f t="shared" ref="C128:I128" si="563">+C135+C131</f>
        <v>1045</v>
      </c>
      <c r="D128" s="47">
        <f t="shared" si="563"/>
        <v>1036</v>
      </c>
      <c r="E128" s="47">
        <f t="shared" si="563"/>
        <v>1244</v>
      </c>
      <c r="F128" s="47">
        <f t="shared" si="563"/>
        <v>1376</v>
      </c>
      <c r="G128" s="47">
        <f t="shared" si="563"/>
        <v>1230</v>
      </c>
      <c r="H128" s="47">
        <f t="shared" si="563"/>
        <v>1573</v>
      </c>
      <c r="I128" s="47">
        <f t="shared" si="563"/>
        <v>1938</v>
      </c>
      <c r="J128" s="47">
        <f>+J114*J130</f>
        <v>2161.5883090077532</v>
      </c>
      <c r="K128" s="47">
        <f t="shared" ref="K128:N128" si="564">+K114*K130</f>
        <v>2412.8353930809058</v>
      </c>
      <c r="L128" s="47">
        <f t="shared" si="564"/>
        <v>2695.4542918768748</v>
      </c>
      <c r="M128" s="47">
        <f t="shared" si="564"/>
        <v>3013.7076549116482</v>
      </c>
      <c r="N128" s="47">
        <f t="shared" si="564"/>
        <v>3372.4984262921062</v>
      </c>
    </row>
    <row r="129" spans="1:14" x14ac:dyDescent="0.3">
      <c r="A129" s="45" t="s">
        <v>129</v>
      </c>
      <c r="B129" s="46" t="str">
        <f t="shared" ref="B129" si="565">+IFERROR(B128/A128-1,"nm")</f>
        <v>nm</v>
      </c>
      <c r="C129" s="46">
        <f t="shared" ref="C129" si="566">+IFERROR(C128/B128-1,"nm")</f>
        <v>8.0661840744570945E-2</v>
      </c>
      <c r="D129" s="46">
        <f t="shared" ref="D129" si="567">+IFERROR(D128/C128-1,"nm")</f>
        <v>-8.6124401913875159E-3</v>
      </c>
      <c r="E129" s="46">
        <f t="shared" ref="E129" si="568">+IFERROR(E128/D128-1,"nm")</f>
        <v>0.20077220077220082</v>
      </c>
      <c r="F129" s="46">
        <f t="shared" ref="F129" si="569">+IFERROR(F128/E128-1,"nm")</f>
        <v>0.10610932475884249</v>
      </c>
      <c r="G129" s="46">
        <f t="shared" ref="G129" si="570">+IFERROR(G128/F128-1,"nm")</f>
        <v>-0.10610465116279066</v>
      </c>
      <c r="H129" s="46">
        <f t="shared" ref="H129" si="571">+IFERROR(H128/G128-1,"nm")</f>
        <v>0.27886178861788613</v>
      </c>
      <c r="I129" s="46">
        <f t="shared" ref="I129" si="572">+IFERROR(I128/H128-1,"nm")</f>
        <v>0.23204068658614108</v>
      </c>
      <c r="J129" s="46">
        <f t="shared" ref="J129" si="573">+IFERROR(J128/I128-1,"nm")</f>
        <v>0.11537064448284484</v>
      </c>
      <c r="K129" s="46">
        <f t="shared" ref="K129" si="574">+IFERROR(K128/J128-1,"nm")</f>
        <v>0.11623262534598178</v>
      </c>
      <c r="L129" s="46">
        <f t="shared" ref="L129" si="575">+IFERROR(L128/K128-1,"nm")</f>
        <v>0.11713144610130155</v>
      </c>
      <c r="M129" s="46">
        <f t="shared" ref="M129" si="576">+IFERROR(M128/L128-1,"nm")</f>
        <v>0.11807039874275516</v>
      </c>
      <c r="N129" s="46">
        <f t="shared" ref="N129" si="577">+IFERROR(N128/M128-1,"nm")</f>
        <v>0.11905294489852447</v>
      </c>
    </row>
    <row r="130" spans="1:14" x14ac:dyDescent="0.3">
      <c r="A130" s="45" t="s">
        <v>131</v>
      </c>
      <c r="B130" s="46">
        <f>+IFERROR(B128/B$114,"nm")</f>
        <v>0.20782290995056951</v>
      </c>
      <c r="C130" s="46">
        <f t="shared" ref="C130:I130" si="578">+IFERROR(C128/C$114,"nm")</f>
        <v>0.24206624971044707</v>
      </c>
      <c r="D130" s="46">
        <f t="shared" si="578"/>
        <v>0.218703820983745</v>
      </c>
      <c r="E130" s="46">
        <f t="shared" si="578"/>
        <v>0.2408052651955091</v>
      </c>
      <c r="F130" s="46">
        <f t="shared" si="578"/>
        <v>0.26189569851541683</v>
      </c>
      <c r="G130" s="46">
        <f t="shared" si="578"/>
        <v>0.24463007159904535</v>
      </c>
      <c r="H130" s="46">
        <f t="shared" si="578"/>
        <v>0.2944038929440389</v>
      </c>
      <c r="I130" s="46">
        <f t="shared" si="578"/>
        <v>0.32544080604534004</v>
      </c>
      <c r="J130" s="48">
        <f>+I130</f>
        <v>0.32544080604534004</v>
      </c>
      <c r="K130" s="48">
        <f t="shared" ref="K130" si="579">+J130</f>
        <v>0.32544080604534004</v>
      </c>
      <c r="L130" s="48">
        <f t="shared" ref="L130" si="580">+K130</f>
        <v>0.32544080604534004</v>
      </c>
      <c r="M130" s="48">
        <f t="shared" ref="M130" si="581">+L130</f>
        <v>0.32544080604534004</v>
      </c>
      <c r="N130" s="48">
        <f t="shared" ref="N130" si="582">+M130</f>
        <v>0.32544080604534004</v>
      </c>
    </row>
    <row r="131" spans="1:14" x14ac:dyDescent="0.3">
      <c r="A131" s="9" t="s">
        <v>132</v>
      </c>
      <c r="B131" s="9">
        <f>+Historicals!B170</f>
        <v>49</v>
      </c>
      <c r="C131" s="9">
        <f>+Historicals!C170</f>
        <v>43</v>
      </c>
      <c r="D131" s="9">
        <f>+Historicals!D170</f>
        <v>56</v>
      </c>
      <c r="E131" s="9">
        <f>+Historicals!E170</f>
        <v>55</v>
      </c>
      <c r="F131" s="9">
        <f>+Historicals!F170</f>
        <v>53</v>
      </c>
      <c r="G131" s="9">
        <f>+Historicals!G170</f>
        <v>46</v>
      </c>
      <c r="H131" s="9">
        <f>+Historicals!H170</f>
        <v>43</v>
      </c>
      <c r="I131" s="9">
        <f>+Historicals!I170</f>
        <v>42</v>
      </c>
      <c r="J131" s="47">
        <f>+J134*J141</f>
        <v>46.845567068279486</v>
      </c>
      <c r="K131" s="47">
        <f t="shared" ref="K131:N131" si="583">+K134*K141</f>
        <v>52.290550314446875</v>
      </c>
      <c r="L131" s="47">
        <f t="shared" si="583"/>
        <v>58.415418090210906</v>
      </c>
      <c r="M131" s="47">
        <f t="shared" si="583"/>
        <v>65.312549796846866</v>
      </c>
      <c r="N131" s="47">
        <f t="shared" si="583"/>
        <v>73.088201188993025</v>
      </c>
    </row>
    <row r="132" spans="1:14" x14ac:dyDescent="0.3">
      <c r="A132" s="45" t="s">
        <v>129</v>
      </c>
      <c r="B132" s="46" t="str">
        <f t="shared" ref="B132" si="584">+IFERROR(B131/A131-1,"nm")</f>
        <v>nm</v>
      </c>
      <c r="C132" s="46">
        <f t="shared" ref="C132" si="585">+IFERROR(C131/B131-1,"nm")</f>
        <v>-0.12244897959183676</v>
      </c>
      <c r="D132" s="46">
        <f t="shared" ref="D132" si="586">+IFERROR(D131/C131-1,"nm")</f>
        <v>0.30232558139534893</v>
      </c>
      <c r="E132" s="46">
        <f t="shared" ref="E132" si="587">+IFERROR(E131/D131-1,"nm")</f>
        <v>-1.7857142857142905E-2</v>
      </c>
      <c r="F132" s="46">
        <f t="shared" ref="F132" si="588">+IFERROR(F131/E131-1,"nm")</f>
        <v>-3.6363636363636376E-2</v>
      </c>
      <c r="G132" s="46">
        <f t="shared" ref="G132" si="589">+IFERROR(G131/F131-1,"nm")</f>
        <v>-0.13207547169811318</v>
      </c>
      <c r="H132" s="46">
        <f t="shared" ref="H132" si="590">+IFERROR(H131/G131-1,"nm")</f>
        <v>-6.5217391304347783E-2</v>
      </c>
      <c r="I132" s="46">
        <f t="shared" ref="I132" si="591">+IFERROR(I131/H131-1,"nm")</f>
        <v>-2.3255813953488413E-2</v>
      </c>
      <c r="J132" s="46">
        <f t="shared" ref="J132" si="592">+IFERROR(J131/I131-1,"nm")</f>
        <v>0.11537064448284484</v>
      </c>
      <c r="K132" s="46">
        <f t="shared" ref="K132" si="593">+IFERROR(K131/J131-1,"nm")</f>
        <v>0.11623262534598178</v>
      </c>
      <c r="L132" s="46">
        <f t="shared" ref="L132" si="594">+IFERROR(L131/K131-1,"nm")</f>
        <v>0.11713144610130155</v>
      </c>
      <c r="M132" s="46">
        <f t="shared" ref="M132" si="595">+IFERROR(M131/L131-1,"nm")</f>
        <v>0.11807039874275516</v>
      </c>
      <c r="N132" s="46">
        <f t="shared" ref="N132" si="596">+IFERROR(N131/M131-1,"nm")</f>
        <v>0.11905294489852469</v>
      </c>
    </row>
    <row r="133" spans="1:14" x14ac:dyDescent="0.3">
      <c r="A133" s="45" t="s">
        <v>133</v>
      </c>
      <c r="B133" s="46">
        <f>+IFERROR(B131/B$114,"nm")</f>
        <v>1.053084031807436E-2</v>
      </c>
      <c r="C133" s="46">
        <f t="shared" ref="C133:N133" si="597">+IFERROR(C131/C$114,"nm")</f>
        <v>9.9606208014825105E-3</v>
      </c>
      <c r="D133" s="46">
        <f t="shared" si="597"/>
        <v>1.1821828161283512E-2</v>
      </c>
      <c r="E133" s="46">
        <f t="shared" si="597"/>
        <v>1.064653503677894E-2</v>
      </c>
      <c r="F133" s="46">
        <f t="shared" si="597"/>
        <v>1.0087552341073468E-2</v>
      </c>
      <c r="G133" s="46">
        <f t="shared" si="597"/>
        <v>9.148766905330152E-3</v>
      </c>
      <c r="H133" s="46">
        <f t="shared" si="597"/>
        <v>8.0479131574022079E-3</v>
      </c>
      <c r="I133" s="46">
        <f t="shared" si="597"/>
        <v>7.0528967254408059E-3</v>
      </c>
      <c r="J133" s="46">
        <f t="shared" si="597"/>
        <v>7.0528967254408067E-3</v>
      </c>
      <c r="K133" s="46">
        <f t="shared" si="597"/>
        <v>7.0528967254408059E-3</v>
      </c>
      <c r="L133" s="46">
        <f t="shared" si="597"/>
        <v>7.0528967254408059E-3</v>
      </c>
      <c r="M133" s="46">
        <f t="shared" si="597"/>
        <v>7.0528967254408059E-3</v>
      </c>
      <c r="N133" s="46">
        <f t="shared" si="597"/>
        <v>7.0528967254408067E-3</v>
      </c>
    </row>
    <row r="134" spans="1:14" x14ac:dyDescent="0.3">
      <c r="A134" s="45" t="s">
        <v>140</v>
      </c>
      <c r="B134" s="46">
        <f t="shared" ref="B134" si="598">+IFERROR(B131/B141,"nm")</f>
        <v>0.15909090909090909</v>
      </c>
      <c r="C134" s="46">
        <f t="shared" ref="C134:I134" si="599">+IFERROR(C131/C141,"nm")</f>
        <v>0.12951807228915663</v>
      </c>
      <c r="D134" s="46">
        <f t="shared" si="599"/>
        <v>0.16470588235294117</v>
      </c>
      <c r="E134" s="46">
        <f t="shared" si="599"/>
        <v>0.16224188790560473</v>
      </c>
      <c r="F134" s="46">
        <f t="shared" si="599"/>
        <v>0.16257668711656442</v>
      </c>
      <c r="G134" s="46">
        <f t="shared" si="599"/>
        <v>0.1554054054054054</v>
      </c>
      <c r="H134" s="46">
        <f t="shared" si="599"/>
        <v>0.14144736842105263</v>
      </c>
      <c r="I134" s="46">
        <f t="shared" si="599"/>
        <v>0.15328467153284672</v>
      </c>
      <c r="J134" s="48">
        <f>+I134</f>
        <v>0.15328467153284672</v>
      </c>
      <c r="K134" s="48">
        <f t="shared" ref="K134" si="600">+J134</f>
        <v>0.15328467153284672</v>
      </c>
      <c r="L134" s="48">
        <f t="shared" ref="L134" si="601">+K134</f>
        <v>0.15328467153284672</v>
      </c>
      <c r="M134" s="48">
        <f t="shared" ref="M134" si="602">+L134</f>
        <v>0.15328467153284672</v>
      </c>
      <c r="N134" s="48">
        <f t="shared" ref="N134" si="603">+M134</f>
        <v>0.15328467153284672</v>
      </c>
    </row>
    <row r="135" spans="1:14" x14ac:dyDescent="0.3">
      <c r="A135" s="9" t="s">
        <v>134</v>
      </c>
      <c r="B135" s="9">
        <f>Historicals!B137</f>
        <v>918</v>
      </c>
      <c r="C135" s="9">
        <f>Historicals!C137</f>
        <v>1002</v>
      </c>
      <c r="D135" s="9">
        <f>Historicals!D137</f>
        <v>980</v>
      </c>
      <c r="E135" s="9">
        <f>Historicals!E137</f>
        <v>1189</v>
      </c>
      <c r="F135" s="9">
        <f>Historicals!F137</f>
        <v>1323</v>
      </c>
      <c r="G135" s="9">
        <f>Historicals!G137</f>
        <v>1184</v>
      </c>
      <c r="H135" s="9">
        <f>Historicals!H137</f>
        <v>1530</v>
      </c>
      <c r="I135" s="9">
        <f>Historicals!I137</f>
        <v>1896</v>
      </c>
      <c r="J135" s="9">
        <f>+J128-J131</f>
        <v>2114.7427419394735</v>
      </c>
      <c r="K135" s="9">
        <f t="shared" ref="K135:N135" si="604">+K128-K131</f>
        <v>2360.5448427664587</v>
      </c>
      <c r="L135" s="9">
        <f t="shared" si="604"/>
        <v>2637.0388737866638</v>
      </c>
      <c r="M135" s="9">
        <f t="shared" si="604"/>
        <v>2948.3951051148015</v>
      </c>
      <c r="N135" s="9">
        <f t="shared" si="604"/>
        <v>3299.4102251031131</v>
      </c>
    </row>
    <row r="136" spans="1:14" x14ac:dyDescent="0.3">
      <c r="A136" s="45" t="s">
        <v>129</v>
      </c>
      <c r="B136" s="46" t="str">
        <f t="shared" ref="B136" si="605">+IFERROR(B135/A135-1,"nm")</f>
        <v>nm</v>
      </c>
      <c r="C136" s="46">
        <f t="shared" ref="C136" si="606">+IFERROR(C135/B135-1,"nm")</f>
        <v>9.1503267973856106E-2</v>
      </c>
      <c r="D136" s="46">
        <f t="shared" ref="D136" si="607">+IFERROR(D135/C135-1,"nm")</f>
        <v>-2.1956087824351322E-2</v>
      </c>
      <c r="E136" s="46">
        <f t="shared" ref="E136" si="608">+IFERROR(E135/D135-1,"nm")</f>
        <v>0.21326530612244898</v>
      </c>
      <c r="F136" s="46">
        <f t="shared" ref="F136" si="609">+IFERROR(F135/E135-1,"nm")</f>
        <v>0.11269974768713209</v>
      </c>
      <c r="G136" s="46">
        <f t="shared" ref="G136" si="610">+IFERROR(G135/F135-1,"nm")</f>
        <v>-0.1050642479213908</v>
      </c>
      <c r="H136" s="46">
        <f t="shared" ref="H136" si="611">+IFERROR(H135/G135-1,"nm")</f>
        <v>0.29222972972972983</v>
      </c>
      <c r="I136" s="46">
        <f t="shared" ref="I136" si="612">+IFERROR(I135/H135-1,"nm")</f>
        <v>0.23921568627450984</v>
      </c>
      <c r="J136" s="46">
        <f t="shared" ref="J136" si="613">+IFERROR(J135/I135-1,"nm")</f>
        <v>0.11537064448284462</v>
      </c>
      <c r="K136" s="46">
        <f t="shared" ref="K136" si="614">+IFERROR(K135/J135-1,"nm")</f>
        <v>0.11623262534598178</v>
      </c>
      <c r="L136" s="46">
        <f t="shared" ref="L136" si="615">+IFERROR(L135/K135-1,"nm")</f>
        <v>0.11713144610130155</v>
      </c>
      <c r="M136" s="46">
        <f t="shared" ref="M136" si="616">+IFERROR(M135/L135-1,"nm")</f>
        <v>0.11807039874275538</v>
      </c>
      <c r="N136" s="46">
        <f t="shared" ref="N136" si="617">+IFERROR(N135/M135-1,"nm")</f>
        <v>0.11905294489852447</v>
      </c>
    </row>
    <row r="137" spans="1:14" x14ac:dyDescent="0.3">
      <c r="A137" s="45" t="s">
        <v>131</v>
      </c>
      <c r="B137" s="46">
        <f>+IFERROR(B135/B$114,"nm")</f>
        <v>0.19729206963249515</v>
      </c>
      <c r="C137" s="46">
        <f t="shared" ref="C137:N137" si="618">+IFERROR(C135/C$114,"nm")</f>
        <v>0.23210562890896455</v>
      </c>
      <c r="D137" s="46">
        <f t="shared" si="618"/>
        <v>0.20688199282246147</v>
      </c>
      <c r="E137" s="46">
        <f t="shared" si="618"/>
        <v>0.23015873015873015</v>
      </c>
      <c r="F137" s="46">
        <f t="shared" si="618"/>
        <v>0.25180814617434338</v>
      </c>
      <c r="G137" s="46">
        <f t="shared" si="618"/>
        <v>0.2354813046937152</v>
      </c>
      <c r="H137" s="46">
        <f t="shared" si="618"/>
        <v>0.28635597978663674</v>
      </c>
      <c r="I137" s="46">
        <f t="shared" si="618"/>
        <v>0.31838790931989924</v>
      </c>
      <c r="J137" s="46">
        <f t="shared" si="618"/>
        <v>0.31838790931989919</v>
      </c>
      <c r="K137" s="46">
        <f t="shared" si="618"/>
        <v>0.31838790931989919</v>
      </c>
      <c r="L137" s="46">
        <f t="shared" si="618"/>
        <v>0.31838790931989924</v>
      </c>
      <c r="M137" s="46">
        <f t="shared" si="618"/>
        <v>0.31838790931989924</v>
      </c>
      <c r="N137" s="46">
        <f t="shared" si="618"/>
        <v>0.31838790931989924</v>
      </c>
    </row>
    <row r="138" spans="1:14" x14ac:dyDescent="0.3">
      <c r="A138" s="9" t="s">
        <v>135</v>
      </c>
      <c r="B138" s="9">
        <f>+Historicals!B159</f>
        <v>52</v>
      </c>
      <c r="C138" s="9">
        <f>+Historicals!C159</f>
        <v>64</v>
      </c>
      <c r="D138" s="9">
        <f>+Historicals!D159</f>
        <v>59</v>
      </c>
      <c r="E138" s="9">
        <f>+Historicals!E159</f>
        <v>49</v>
      </c>
      <c r="F138" s="9">
        <f>+Historicals!F159</f>
        <v>47</v>
      </c>
      <c r="G138" s="9">
        <f>+Historicals!G159</f>
        <v>41</v>
      </c>
      <c r="H138" s="9">
        <f>+Historicals!H159</f>
        <v>54</v>
      </c>
      <c r="I138" s="9">
        <f>+Historicals!I159</f>
        <v>56</v>
      </c>
      <c r="J138" s="47">
        <f>+J114*J140</f>
        <v>62.460756091039308</v>
      </c>
      <c r="K138" s="47">
        <f t="shared" ref="K138:N138" si="619">+K114*K140</f>
        <v>69.720733752595834</v>
      </c>
      <c r="L138" s="47">
        <f t="shared" si="619"/>
        <v>77.887224120281203</v>
      </c>
      <c r="M138" s="47">
        <f t="shared" si="619"/>
        <v>87.083399729129155</v>
      </c>
      <c r="N138" s="47">
        <f t="shared" si="619"/>
        <v>97.450934918657353</v>
      </c>
    </row>
    <row r="139" spans="1:14" x14ac:dyDescent="0.3">
      <c r="A139" s="45" t="s">
        <v>129</v>
      </c>
      <c r="B139" s="46" t="str">
        <f t="shared" ref="B139" si="620">+IFERROR(B138/A138-1,"nm")</f>
        <v>nm</v>
      </c>
      <c r="C139" s="46">
        <f t="shared" ref="C139" si="621">+IFERROR(C138/B138-1,"nm")</f>
        <v>0.23076923076923084</v>
      </c>
      <c r="D139" s="46">
        <f t="shared" ref="D139" si="622">+IFERROR(D138/C138-1,"nm")</f>
        <v>-7.8125E-2</v>
      </c>
      <c r="E139" s="46">
        <f t="shared" ref="E139" si="623">+IFERROR(E138/D138-1,"nm")</f>
        <v>-0.16949152542372881</v>
      </c>
      <c r="F139" s="46">
        <f t="shared" ref="F139" si="624">+IFERROR(F138/E138-1,"nm")</f>
        <v>-4.081632653061229E-2</v>
      </c>
      <c r="G139" s="46">
        <f t="shared" ref="G139" si="625">+IFERROR(G138/F138-1,"nm")</f>
        <v>-0.12765957446808507</v>
      </c>
      <c r="H139" s="46">
        <f t="shared" ref="H139" si="626">+IFERROR(H138/G138-1,"nm")</f>
        <v>0.31707317073170738</v>
      </c>
      <c r="I139" s="46">
        <f t="shared" ref="I139" si="627">+IFERROR(I138/H138-1,"nm")</f>
        <v>3.7037037037036979E-2</v>
      </c>
      <c r="J139" s="46">
        <f t="shared" ref="J139" si="628">+IFERROR(J138/I138-1,"nm")</f>
        <v>0.11537064448284484</v>
      </c>
      <c r="K139" s="46">
        <f t="shared" ref="K139" si="629">+IFERROR(K138/J138-1,"nm")</f>
        <v>0.11623262534598178</v>
      </c>
      <c r="L139" s="46">
        <f t="shared" ref="L139" si="630">+IFERROR(L138/K138-1,"nm")</f>
        <v>0.11713144610130155</v>
      </c>
      <c r="M139" s="46">
        <f t="shared" ref="M139" si="631">+IFERROR(M138/L138-1,"nm")</f>
        <v>0.11807039874275538</v>
      </c>
      <c r="N139" s="46">
        <f t="shared" ref="N139" si="632">+IFERROR(N138/M138-1,"nm")</f>
        <v>0.11905294489852447</v>
      </c>
    </row>
    <row r="140" spans="1:14" x14ac:dyDescent="0.3">
      <c r="A140" s="45" t="s">
        <v>133</v>
      </c>
      <c r="B140" s="46">
        <f>+IFERROR(B138/B$114,"nm")</f>
        <v>1.117558564367075E-2</v>
      </c>
      <c r="C140" s="46">
        <f t="shared" ref="C140:I140" si="633">+IFERROR(C138/C$114,"nm")</f>
        <v>1.4825110030113504E-2</v>
      </c>
      <c r="D140" s="46">
        <f t="shared" si="633"/>
        <v>1.2455140384209416E-2</v>
      </c>
      <c r="E140" s="46">
        <f t="shared" si="633"/>
        <v>9.485094850948509E-3</v>
      </c>
      <c r="F140" s="46">
        <f t="shared" si="633"/>
        <v>8.9455652835934533E-3</v>
      </c>
      <c r="G140" s="46">
        <f t="shared" si="633"/>
        <v>8.1543357199681775E-3</v>
      </c>
      <c r="H140" s="46">
        <f t="shared" si="633"/>
        <v>1.0106681639528355E-2</v>
      </c>
      <c r="I140" s="46">
        <f t="shared" si="633"/>
        <v>9.4038623005877411E-3</v>
      </c>
      <c r="J140" s="48">
        <f>+I140</f>
        <v>9.4038623005877411E-3</v>
      </c>
      <c r="K140" s="48">
        <f t="shared" ref="K140" si="634">+J140</f>
        <v>9.4038623005877411E-3</v>
      </c>
      <c r="L140" s="48">
        <f t="shared" ref="L140" si="635">+K140</f>
        <v>9.4038623005877411E-3</v>
      </c>
      <c r="M140" s="48">
        <f t="shared" ref="M140" si="636">+L140</f>
        <v>9.4038623005877411E-3</v>
      </c>
      <c r="N140" s="48">
        <f t="shared" ref="N140" si="637">+M140</f>
        <v>9.4038623005877411E-3</v>
      </c>
    </row>
    <row r="141" spans="1:14" x14ac:dyDescent="0.3">
      <c r="A141" s="9" t="s">
        <v>141</v>
      </c>
      <c r="B141" s="9">
        <f>+Historicals!B148</f>
        <v>308</v>
      </c>
      <c r="C141" s="9">
        <f>+Historicals!C148</f>
        <v>332</v>
      </c>
      <c r="D141" s="9">
        <f>+Historicals!D148</f>
        <v>340</v>
      </c>
      <c r="E141" s="9">
        <f>+Historicals!E148</f>
        <v>339</v>
      </c>
      <c r="F141" s="9">
        <f>+Historicals!F148</f>
        <v>326</v>
      </c>
      <c r="G141" s="9">
        <f>+Historicals!G148</f>
        <v>296</v>
      </c>
      <c r="H141" s="9">
        <f>+Historicals!H148</f>
        <v>304</v>
      </c>
      <c r="I141" s="9">
        <f>+Historicals!I148</f>
        <v>274</v>
      </c>
      <c r="J141" s="47">
        <f>+J114*J143</f>
        <v>305.61155658829949</v>
      </c>
      <c r="K141" s="47">
        <f t="shared" ref="K141:N141" si="638">+K114*K143</f>
        <v>341.13359014662961</v>
      </c>
      <c r="L141" s="47">
        <f t="shared" si="638"/>
        <v>381.09106087423305</v>
      </c>
      <c r="M141" s="47">
        <f t="shared" si="638"/>
        <v>426.08663438895337</v>
      </c>
      <c r="N141" s="47">
        <f t="shared" si="638"/>
        <v>476.81350299485922</v>
      </c>
    </row>
    <row r="142" spans="1:14" x14ac:dyDescent="0.3">
      <c r="A142" s="45" t="s">
        <v>129</v>
      </c>
      <c r="B142" s="46" t="str">
        <f t="shared" ref="B142" si="639">+IFERROR(B141/A141-1,"nm")</f>
        <v>nm</v>
      </c>
      <c r="C142" s="46">
        <f t="shared" ref="C142" si="640">+IFERROR(C141/B141-1,"nm")</f>
        <v>7.7922077922077948E-2</v>
      </c>
      <c r="D142" s="46">
        <f t="shared" ref="D142" si="641">+IFERROR(D141/C141-1,"nm")</f>
        <v>2.4096385542168752E-2</v>
      </c>
      <c r="E142" s="46">
        <f t="shared" ref="E142" si="642">+IFERROR(E141/D141-1,"nm")</f>
        <v>-2.9411764705882248E-3</v>
      </c>
      <c r="F142" s="46">
        <f t="shared" ref="F142" si="643">+IFERROR(F141/E141-1,"nm")</f>
        <v>-3.8348082595870192E-2</v>
      </c>
      <c r="G142" s="46">
        <f t="shared" ref="G142" si="644">+IFERROR(G141/F141-1,"nm")</f>
        <v>-9.2024539877300637E-2</v>
      </c>
      <c r="H142" s="46">
        <f t="shared" ref="H142" si="645">+IFERROR(H141/G141-1,"nm")</f>
        <v>2.7027027027026973E-2</v>
      </c>
      <c r="I142" s="46">
        <f t="shared" ref="I142" si="646">+IFERROR(I141/H141-1,"nm")</f>
        <v>-9.8684210526315819E-2</v>
      </c>
      <c r="J142" s="46">
        <f t="shared" ref="J142" si="647">+IFERROR(J141/I141-1,"nm")</f>
        <v>0.11537064448284484</v>
      </c>
      <c r="K142" s="46">
        <f t="shared" ref="K142" si="648">+IFERROR(K141/J141-1,"nm")</f>
        <v>0.11623262534598178</v>
      </c>
      <c r="L142" s="46">
        <f t="shared" ref="L142" si="649">+IFERROR(L141/K141-1,"nm")</f>
        <v>0.11713144610130155</v>
      </c>
      <c r="M142" s="46">
        <f t="shared" ref="M142" si="650">+IFERROR(M141/L141-1,"nm")</f>
        <v>0.11807039874275538</v>
      </c>
      <c r="N142" s="46">
        <f t="shared" ref="N142" si="651">+IFERROR(N141/M141-1,"nm")</f>
        <v>0.11905294489852447</v>
      </c>
    </row>
    <row r="143" spans="1:14" x14ac:dyDescent="0.3">
      <c r="A143" s="45" t="s">
        <v>133</v>
      </c>
      <c r="B143" s="46">
        <f>+IFERROR(B141/B$114,"nm")</f>
        <v>6.6193853427895979E-2</v>
      </c>
      <c r="C143" s="46">
        <f t="shared" ref="C143:I143" si="652">+IFERROR(C141/C$114,"nm")</f>
        <v>7.6905258281213806E-2</v>
      </c>
      <c r="D143" s="46">
        <f t="shared" si="652"/>
        <v>7.1775385264935612E-2</v>
      </c>
      <c r="E143" s="46">
        <f t="shared" si="652"/>
        <v>6.5621370499419282E-2</v>
      </c>
      <c r="F143" s="46">
        <f t="shared" si="652"/>
        <v>6.2047963456414161E-2</v>
      </c>
      <c r="G143" s="46">
        <f t="shared" si="652"/>
        <v>5.88703261734288E-2</v>
      </c>
      <c r="H143" s="46">
        <f t="shared" si="652"/>
        <v>5.6896874415122589E-2</v>
      </c>
      <c r="I143" s="46">
        <f t="shared" si="652"/>
        <v>4.6011754827875735E-2</v>
      </c>
      <c r="J143" s="48">
        <f>+I143</f>
        <v>4.6011754827875735E-2</v>
      </c>
      <c r="K143" s="48">
        <f t="shared" ref="K143" si="653">+J143</f>
        <v>4.6011754827875735E-2</v>
      </c>
      <c r="L143" s="48">
        <f t="shared" ref="L143" si="654">+K143</f>
        <v>4.6011754827875735E-2</v>
      </c>
      <c r="M143" s="48">
        <f t="shared" ref="M143" si="655">+L143</f>
        <v>4.6011754827875735E-2</v>
      </c>
      <c r="N143" s="48">
        <f t="shared" ref="N143" si="656">+M143</f>
        <v>4.6011754827875735E-2</v>
      </c>
    </row>
    <row r="144" spans="1:14" x14ac:dyDescent="0.3">
      <c r="A144" s="42" t="s">
        <v>104</v>
      </c>
      <c r="B144" s="42"/>
      <c r="C144" s="42"/>
      <c r="D144" s="42"/>
      <c r="E144" s="42"/>
      <c r="F144" s="42"/>
      <c r="G144" s="42"/>
      <c r="H144" s="42"/>
      <c r="I144" s="42"/>
      <c r="J144" s="38"/>
      <c r="K144" s="38"/>
      <c r="L144" s="38"/>
      <c r="M144" s="38"/>
      <c r="N144" s="38"/>
    </row>
    <row r="145" spans="1:14" x14ac:dyDescent="0.3">
      <c r="A145" s="9" t="s">
        <v>136</v>
      </c>
      <c r="B145" s="9">
        <f>+Historicals!B125</f>
        <v>1982</v>
      </c>
      <c r="C145" s="9">
        <f>+Historicals!C125</f>
        <v>1955</v>
      </c>
      <c r="D145" s="9">
        <f>+Historicals!D125</f>
        <v>2042</v>
      </c>
      <c r="E145" s="9">
        <f>+Historicals!E125</f>
        <v>1886</v>
      </c>
      <c r="F145" s="9">
        <f>+Historicals!F125</f>
        <v>1906</v>
      </c>
      <c r="G145" s="9">
        <f>+Historicals!G125</f>
        <v>1846</v>
      </c>
      <c r="H145" s="9">
        <f>+Historicals!H125</f>
        <v>2205</v>
      </c>
      <c r="I145" s="9">
        <f>+Historicals!I125</f>
        <v>2346</v>
      </c>
      <c r="J145" s="68">
        <f>+J147+J151+J155+J159</f>
        <v>2509.1116766458413</v>
      </c>
      <c r="K145" s="68">
        <f t="shared" ref="K145:N145" si="657">+K147+K151+K155+K159</f>
        <v>2701.4709185679594</v>
      </c>
      <c r="L145" s="68">
        <f t="shared" si="657"/>
        <v>2933.1808393361207</v>
      </c>
      <c r="M145" s="68">
        <f t="shared" si="657"/>
        <v>3218.5800734920863</v>
      </c>
      <c r="N145" s="68">
        <f t="shared" si="657"/>
        <v>3578.0565631969675</v>
      </c>
    </row>
    <row r="146" spans="1:14" x14ac:dyDescent="0.3">
      <c r="A146" s="43" t="s">
        <v>129</v>
      </c>
      <c r="B146" s="46" t="str">
        <f t="shared" ref="B146:N146" si="658">+IFERROR(B145/A145-1,"nm")</f>
        <v>nm</v>
      </c>
      <c r="C146" s="46">
        <f t="shared" ref="C146" si="659">+IFERROR(C145/B145-1,"nm")</f>
        <v>-1.3622603430877955E-2</v>
      </c>
      <c r="D146" s="46">
        <f t="shared" ref="D146" si="660">+IFERROR(D145/C145-1,"nm")</f>
        <v>4.4501278772378416E-2</v>
      </c>
      <c r="E146" s="46">
        <f t="shared" ref="E146" si="661">+IFERROR(E145/D145-1,"nm")</f>
        <v>-7.6395690499510338E-2</v>
      </c>
      <c r="F146" s="46">
        <f t="shared" ref="F146" si="662">+IFERROR(F145/E145-1,"nm")</f>
        <v>1.0604453870625585E-2</v>
      </c>
      <c r="G146" s="46">
        <f t="shared" ref="G146" si="663">+IFERROR(G145/F145-1,"nm")</f>
        <v>-3.147953830010497E-2</v>
      </c>
      <c r="H146" s="46">
        <f t="shared" ref="H146" si="664">+IFERROR(H145/G145-1,"nm")</f>
        <v>0.19447453954496208</v>
      </c>
      <c r="I146" s="46">
        <f t="shared" ref="I146" si="665">+IFERROR(I145/H145-1,"nm")</f>
        <v>6.3945578231292544E-2</v>
      </c>
      <c r="J146" s="69">
        <f t="shared" si="658"/>
        <v>6.9527568902745696E-2</v>
      </c>
      <c r="K146" s="69">
        <f t="shared" si="658"/>
        <v>7.6664280714385136E-2</v>
      </c>
      <c r="L146" s="69">
        <f t="shared" si="658"/>
        <v>8.5771762033622023E-2</v>
      </c>
      <c r="M146" s="69">
        <f t="shared" si="658"/>
        <v>9.7300251770552793E-2</v>
      </c>
      <c r="N146" s="69">
        <f t="shared" si="658"/>
        <v>0.11168791252561805</v>
      </c>
    </row>
    <row r="147" spans="1:14" x14ac:dyDescent="0.3">
      <c r="A147" s="44" t="s">
        <v>113</v>
      </c>
      <c r="B147" s="3">
        <f>+Historicals!B126</f>
        <v>0</v>
      </c>
      <c r="C147" s="3">
        <f>+Historicals!C126</f>
        <v>0</v>
      </c>
      <c r="D147" s="3">
        <f>+Historicals!D126</f>
        <v>0</v>
      </c>
      <c r="E147" s="3">
        <f>+Historicals!E126</f>
        <v>1611</v>
      </c>
      <c r="F147" s="3">
        <f>+Historicals!F126</f>
        <v>1658</v>
      </c>
      <c r="G147" s="3">
        <f>+Historicals!G126</f>
        <v>1642</v>
      </c>
      <c r="H147" s="3">
        <f>+Historicals!H126</f>
        <v>1986</v>
      </c>
      <c r="I147" s="3">
        <f>+Historicals!I126</f>
        <v>2094</v>
      </c>
      <c r="J147" s="70">
        <f>+I147*(1+J148)</f>
        <v>2207.8731117824773</v>
      </c>
      <c r="K147" s="70">
        <f t="shared" ref="K147:N147" si="666">+J147*(1+K148)</f>
        <v>2327.9387190697421</v>
      </c>
      <c r="L147" s="70">
        <f t="shared" si="666"/>
        <v>2454.5335738832023</v>
      </c>
      <c r="M147" s="70">
        <f t="shared" si="666"/>
        <v>2588.0127410430136</v>
      </c>
      <c r="N147" s="70">
        <f t="shared" si="666"/>
        <v>2728.7505940302472</v>
      </c>
    </row>
    <row r="148" spans="1:14" x14ac:dyDescent="0.3">
      <c r="A148" s="43" t="s">
        <v>129</v>
      </c>
      <c r="B148" s="46" t="str">
        <f t="shared" ref="B148" si="667">+IFERROR(B147/A147-1,"nm")</f>
        <v>nm</v>
      </c>
      <c r="C148" s="46" t="str">
        <f t="shared" ref="C148" si="668">+IFERROR(C147/B147-1,"nm")</f>
        <v>nm</v>
      </c>
      <c r="D148" s="46" t="str">
        <f t="shared" ref="D148" si="669">+IFERROR(D147/C147-1,"nm")</f>
        <v>nm</v>
      </c>
      <c r="E148" s="46" t="str">
        <f t="shared" ref="E148" si="670">+IFERROR(E147/D147-1,"nm")</f>
        <v>nm</v>
      </c>
      <c r="F148" s="46">
        <f t="shared" ref="F148" si="671">+IFERROR(F147/E147-1,"nm")</f>
        <v>2.9174425822470429E-2</v>
      </c>
      <c r="G148" s="46">
        <f t="shared" ref="G148" si="672">+IFERROR(G147/F147-1,"nm")</f>
        <v>-9.6501809408926498E-3</v>
      </c>
      <c r="H148" s="46">
        <f t="shared" ref="H148" si="673">+IFERROR(H147/G147-1,"nm")</f>
        <v>0.2095006090133984</v>
      </c>
      <c r="I148" s="46">
        <f t="shared" ref="I148" si="674">+IFERROR(I147/H147-1,"nm")</f>
        <v>5.4380664652567967E-2</v>
      </c>
      <c r="J148" s="69">
        <f>+J149+J150</f>
        <v>5.4380664652567967E-2</v>
      </c>
      <c r="K148" s="69">
        <f t="shared" ref="K148:N148" si="675">+K149+K150</f>
        <v>5.4380664652567967E-2</v>
      </c>
      <c r="L148" s="69">
        <f t="shared" si="675"/>
        <v>5.4380664652567967E-2</v>
      </c>
      <c r="M148" s="69">
        <f t="shared" si="675"/>
        <v>5.4380664652567967E-2</v>
      </c>
      <c r="N148" s="69">
        <f t="shared" si="675"/>
        <v>5.4380664652567967E-2</v>
      </c>
    </row>
    <row r="149" spans="1:14" x14ac:dyDescent="0.3">
      <c r="A149" s="43" t="s">
        <v>137</v>
      </c>
      <c r="B149" s="46" t="str">
        <f>+Historicals!B198</f>
        <v>nm</v>
      </c>
      <c r="C149" s="46" t="str">
        <f>+Historicals!C198</f>
        <v>nm</v>
      </c>
      <c r="D149" s="46" t="str">
        <f>+Historicals!D198</f>
        <v>nm</v>
      </c>
      <c r="E149" s="46" t="str">
        <f>+Historicals!E198</f>
        <v>nm</v>
      </c>
      <c r="F149" s="46">
        <f>+Historicals!F198</f>
        <v>2.9174425822470429E-2</v>
      </c>
      <c r="G149" s="46">
        <f>+Historicals!G198</f>
        <v>-9.6501809408926498E-3</v>
      </c>
      <c r="H149" s="46">
        <f>+Historicals!H198</f>
        <v>0.2095006090133984</v>
      </c>
      <c r="I149" s="46">
        <f>+Historicals!I198</f>
        <v>5.4380664652567967E-2</v>
      </c>
      <c r="J149" s="75">
        <f>I149</f>
        <v>5.4380664652567967E-2</v>
      </c>
      <c r="K149" s="75">
        <f t="shared" ref="K149:N149" si="676">J149</f>
        <v>5.4380664652567967E-2</v>
      </c>
      <c r="L149" s="75">
        <f t="shared" si="676"/>
        <v>5.4380664652567967E-2</v>
      </c>
      <c r="M149" s="75">
        <f t="shared" si="676"/>
        <v>5.4380664652567967E-2</v>
      </c>
      <c r="N149" s="75">
        <f t="shared" si="676"/>
        <v>5.4380664652567967E-2</v>
      </c>
    </row>
    <row r="150" spans="1:14" x14ac:dyDescent="0.3">
      <c r="A150" s="43" t="s">
        <v>138</v>
      </c>
      <c r="B150" s="46" t="str">
        <f t="shared" ref="B150" si="677">+IFERROR(B148-B149,"nm")</f>
        <v>nm</v>
      </c>
      <c r="C150" s="46" t="str">
        <f t="shared" ref="C150:I150" si="678">+IFERROR(C148-C149,"nm")</f>
        <v>nm</v>
      </c>
      <c r="D150" s="46" t="str">
        <f t="shared" si="678"/>
        <v>nm</v>
      </c>
      <c r="E150" s="46" t="str">
        <f t="shared" si="678"/>
        <v>nm</v>
      </c>
      <c r="F150" s="46">
        <f t="shared" si="678"/>
        <v>0</v>
      </c>
      <c r="G150" s="46">
        <f t="shared" si="678"/>
        <v>0</v>
      </c>
      <c r="H150" s="46">
        <f t="shared" si="678"/>
        <v>0</v>
      </c>
      <c r="I150" s="46">
        <f t="shared" si="678"/>
        <v>0</v>
      </c>
      <c r="J150" s="71">
        <v>0</v>
      </c>
      <c r="K150" s="71">
        <f t="shared" ref="K150:N150" si="679">+J150</f>
        <v>0</v>
      </c>
      <c r="L150" s="71">
        <f t="shared" si="679"/>
        <v>0</v>
      </c>
      <c r="M150" s="71">
        <f t="shared" si="679"/>
        <v>0</v>
      </c>
      <c r="N150" s="71">
        <f t="shared" si="679"/>
        <v>0</v>
      </c>
    </row>
    <row r="151" spans="1:14" x14ac:dyDescent="0.3">
      <c r="A151" s="44" t="s">
        <v>114</v>
      </c>
      <c r="B151" s="3">
        <f>+Historicals!B127</f>
        <v>0</v>
      </c>
      <c r="C151" s="3">
        <f>+Historicals!C127</f>
        <v>0</v>
      </c>
      <c r="D151" s="3">
        <f>+Historicals!D127</f>
        <v>0</v>
      </c>
      <c r="E151" s="3">
        <f>+Historicals!E127</f>
        <v>144</v>
      </c>
      <c r="F151" s="3">
        <f>+Historicals!F127</f>
        <v>118</v>
      </c>
      <c r="G151" s="3">
        <f>+Historicals!G127</f>
        <v>89</v>
      </c>
      <c r="H151" s="3">
        <f>+Historicals!H127</f>
        <v>104</v>
      </c>
      <c r="I151" s="3">
        <f>+Historicals!I127</f>
        <v>103</v>
      </c>
      <c r="J151" s="70">
        <f>+I151*(1+J152)</f>
        <v>102.00961538461539</v>
      </c>
      <c r="K151" s="70">
        <f t="shared" ref="K151:N151" si="680">+J151*(1+K152)</f>
        <v>101.02875369822486</v>
      </c>
      <c r="L151" s="70">
        <f t="shared" si="680"/>
        <v>100.05732337420348</v>
      </c>
      <c r="M151" s="70">
        <f t="shared" si="680"/>
        <v>99.095233726374602</v>
      </c>
      <c r="N151" s="70">
        <f t="shared" si="680"/>
        <v>98.142394940544079</v>
      </c>
    </row>
    <row r="152" spans="1:14" x14ac:dyDescent="0.3">
      <c r="A152" s="43" t="s">
        <v>129</v>
      </c>
      <c r="B152" s="46" t="str">
        <f t="shared" ref="B152" si="681">+IFERROR(B151/A151-1,"nm")</f>
        <v>nm</v>
      </c>
      <c r="C152" s="46" t="str">
        <f t="shared" ref="C152" si="682">+IFERROR(C151/B151-1,"nm")</f>
        <v>nm</v>
      </c>
      <c r="D152" s="46" t="str">
        <f t="shared" ref="D152" si="683">+IFERROR(D151/C151-1,"nm")</f>
        <v>nm</v>
      </c>
      <c r="E152" s="46" t="str">
        <f t="shared" ref="E152" si="684">+IFERROR(E151/D151-1,"nm")</f>
        <v>nm</v>
      </c>
      <c r="F152" s="46">
        <f t="shared" ref="F152" si="685">+IFERROR(F151/E151-1,"nm")</f>
        <v>-0.18055555555555558</v>
      </c>
      <c r="G152" s="46">
        <f t="shared" ref="G152" si="686">+IFERROR(G151/F151-1,"nm")</f>
        <v>-0.24576271186440679</v>
      </c>
      <c r="H152" s="46">
        <f t="shared" ref="H152" si="687">+IFERROR(H151/G151-1,"nm")</f>
        <v>0.1685393258426966</v>
      </c>
      <c r="I152" s="46">
        <f t="shared" ref="I152" si="688">+IFERROR(I151/H151-1,"nm")</f>
        <v>-9.6153846153845812E-3</v>
      </c>
      <c r="J152" s="69">
        <f>+J153+J154</f>
        <v>-9.6153846153845812E-3</v>
      </c>
      <c r="K152" s="69">
        <f t="shared" ref="K152:N152" si="689">+K153+K154</f>
        <v>-9.6153846153845812E-3</v>
      </c>
      <c r="L152" s="69">
        <f t="shared" si="689"/>
        <v>-9.6153846153845812E-3</v>
      </c>
      <c r="M152" s="69">
        <f t="shared" si="689"/>
        <v>-9.6153846153845812E-3</v>
      </c>
      <c r="N152" s="69">
        <f t="shared" si="689"/>
        <v>-9.6153846153845812E-3</v>
      </c>
    </row>
    <row r="153" spans="1:14" x14ac:dyDescent="0.3">
      <c r="A153" s="43" t="s">
        <v>137</v>
      </c>
      <c r="B153" s="46" t="str">
        <f>+Historicals!B199</f>
        <v>nm</v>
      </c>
      <c r="C153" s="46" t="str">
        <f>+Historicals!C199</f>
        <v>nm</v>
      </c>
      <c r="D153" s="46" t="str">
        <f>+Historicals!D199</f>
        <v>nm</v>
      </c>
      <c r="E153" s="46" t="str">
        <f>+Historicals!E199</f>
        <v>nm</v>
      </c>
      <c r="F153" s="46">
        <f>+Historicals!F199</f>
        <v>-0.18055555555555558</v>
      </c>
      <c r="G153" s="46">
        <f>+Historicals!G199</f>
        <v>-0.24576271186440679</v>
      </c>
      <c r="H153" s="46">
        <f>+Historicals!H199</f>
        <v>0.1685393258426966</v>
      </c>
      <c r="I153" s="46">
        <f>+Historicals!I199</f>
        <v>-9.6153846153845812E-3</v>
      </c>
      <c r="J153" s="75">
        <f>I153</f>
        <v>-9.6153846153845812E-3</v>
      </c>
      <c r="K153" s="75">
        <f t="shared" ref="K153:N154" si="690">+J153</f>
        <v>-9.6153846153845812E-3</v>
      </c>
      <c r="L153" s="75">
        <f t="shared" si="690"/>
        <v>-9.6153846153845812E-3</v>
      </c>
      <c r="M153" s="75">
        <f t="shared" si="690"/>
        <v>-9.6153846153845812E-3</v>
      </c>
      <c r="N153" s="75">
        <f t="shared" si="690"/>
        <v>-9.6153846153845812E-3</v>
      </c>
    </row>
    <row r="154" spans="1:14" x14ac:dyDescent="0.3">
      <c r="A154" s="43" t="s">
        <v>138</v>
      </c>
      <c r="B154" s="46" t="str">
        <f t="shared" ref="B154" si="691">+IFERROR(B152-B153,"nm")</f>
        <v>nm</v>
      </c>
      <c r="C154" s="46" t="str">
        <f t="shared" ref="C154:I154" si="692">+IFERROR(C152-C153,"nm")</f>
        <v>nm</v>
      </c>
      <c r="D154" s="46" t="str">
        <f t="shared" si="692"/>
        <v>nm</v>
      </c>
      <c r="E154" s="46" t="str">
        <f t="shared" si="692"/>
        <v>nm</v>
      </c>
      <c r="F154" s="46">
        <f t="shared" si="692"/>
        <v>0</v>
      </c>
      <c r="G154" s="46">
        <f t="shared" si="692"/>
        <v>0</v>
      </c>
      <c r="H154" s="46">
        <f t="shared" si="692"/>
        <v>0</v>
      </c>
      <c r="I154" s="46">
        <f t="shared" si="692"/>
        <v>0</v>
      </c>
      <c r="J154" s="71">
        <v>0</v>
      </c>
      <c r="K154" s="71">
        <f t="shared" si="690"/>
        <v>0</v>
      </c>
      <c r="L154" s="71">
        <f t="shared" si="690"/>
        <v>0</v>
      </c>
      <c r="M154" s="71">
        <f t="shared" si="690"/>
        <v>0</v>
      </c>
      <c r="N154" s="71">
        <f t="shared" si="690"/>
        <v>0</v>
      </c>
    </row>
    <row r="155" spans="1:14" x14ac:dyDescent="0.3">
      <c r="A155" s="44" t="s">
        <v>115</v>
      </c>
      <c r="B155" s="3">
        <f>+Historicals!B128</f>
        <v>0</v>
      </c>
      <c r="C155" s="3">
        <f>+Historicals!C128</f>
        <v>0</v>
      </c>
      <c r="D155" s="3">
        <f>+Historicals!D128</f>
        <v>0</v>
      </c>
      <c r="E155" s="3">
        <f>+Historicals!E128</f>
        <v>28</v>
      </c>
      <c r="F155" s="3">
        <f>+Historicals!F128</f>
        <v>24</v>
      </c>
      <c r="G155" s="3">
        <f>+Historicals!G128</f>
        <v>25</v>
      </c>
      <c r="H155" s="3">
        <f>+Historicals!H128</f>
        <v>29</v>
      </c>
      <c r="I155" s="3">
        <f>+Historicals!I128</f>
        <v>26</v>
      </c>
      <c r="J155" s="70">
        <f>+I155*(1+J156)</f>
        <v>23.310344827586206</v>
      </c>
      <c r="K155" s="70">
        <f t="shared" ref="K155:N155" si="693">+J155*(1+K156)</f>
        <v>20.898929845422117</v>
      </c>
      <c r="L155" s="70">
        <f t="shared" si="693"/>
        <v>18.736971585550865</v>
      </c>
      <c r="M155" s="70">
        <f t="shared" si="693"/>
        <v>16.798664180149053</v>
      </c>
      <c r="N155" s="70">
        <f t="shared" si="693"/>
        <v>15.060871333926737</v>
      </c>
    </row>
    <row r="156" spans="1:14" x14ac:dyDescent="0.3">
      <c r="A156" s="43" t="s">
        <v>129</v>
      </c>
      <c r="B156" s="46" t="str">
        <f t="shared" ref="B156" si="694">+IFERROR(B155/A155-1,"nm")</f>
        <v>nm</v>
      </c>
      <c r="C156" s="46" t="str">
        <f t="shared" ref="C156" si="695">+IFERROR(C155/B155-1,"nm")</f>
        <v>nm</v>
      </c>
      <c r="D156" s="46" t="str">
        <f t="shared" ref="D156" si="696">+IFERROR(D155/C155-1,"nm")</f>
        <v>nm</v>
      </c>
      <c r="E156" s="46" t="str">
        <f t="shared" ref="E156" si="697">+IFERROR(E155/D155-1,"nm")</f>
        <v>nm</v>
      </c>
      <c r="F156" s="46">
        <f t="shared" ref="F156" si="698">+IFERROR(F155/E155-1,"nm")</f>
        <v>-0.1428571428571429</v>
      </c>
      <c r="G156" s="46">
        <f t="shared" ref="G156" si="699">+IFERROR(G155/F155-1,"nm")</f>
        <v>4.1666666666666741E-2</v>
      </c>
      <c r="H156" s="46">
        <f t="shared" ref="H156" si="700">+IFERROR(H155/G155-1,"nm")</f>
        <v>0.15999999999999992</v>
      </c>
      <c r="I156" s="46">
        <f t="shared" ref="I156" si="701">+IFERROR(I155/H155-1,"nm")</f>
        <v>-0.10344827586206895</v>
      </c>
      <c r="J156" s="69">
        <f>+J157+J158</f>
        <v>-0.10344827586206895</v>
      </c>
      <c r="K156" s="69">
        <f t="shared" ref="K156:N156" si="702">+K157+K158</f>
        <v>-0.10344827586206895</v>
      </c>
      <c r="L156" s="69">
        <f t="shared" si="702"/>
        <v>-0.10344827586206895</v>
      </c>
      <c r="M156" s="69">
        <f t="shared" si="702"/>
        <v>-0.10344827586206895</v>
      </c>
      <c r="N156" s="69">
        <f t="shared" si="702"/>
        <v>-0.10344827586206895</v>
      </c>
    </row>
    <row r="157" spans="1:14" x14ac:dyDescent="0.3">
      <c r="A157" s="43" t="s">
        <v>137</v>
      </c>
      <c r="B157" s="46" t="str">
        <f>+Historicals!B200</f>
        <v>nm</v>
      </c>
      <c r="C157" s="46" t="str">
        <f>+Historicals!C200</f>
        <v>nm</v>
      </c>
      <c r="D157" s="46" t="str">
        <f>+Historicals!D200</f>
        <v>nm</v>
      </c>
      <c r="E157" s="46" t="str">
        <f>+Historicals!E200</f>
        <v>nm</v>
      </c>
      <c r="F157" s="46">
        <f>+Historicals!F200</f>
        <v>-0.1428571428571429</v>
      </c>
      <c r="G157" s="46">
        <f>+Historicals!G200</f>
        <v>4.1666666666666741E-2</v>
      </c>
      <c r="H157" s="46">
        <f>+Historicals!H200</f>
        <v>0.15999999999999992</v>
      </c>
      <c r="I157" s="46">
        <f>+Historicals!I200</f>
        <v>-0.10344827586206895</v>
      </c>
      <c r="J157" s="75">
        <f>I157</f>
        <v>-0.10344827586206895</v>
      </c>
      <c r="K157" s="75">
        <f t="shared" ref="K157:N158" si="703">+J157</f>
        <v>-0.10344827586206895</v>
      </c>
      <c r="L157" s="75">
        <f t="shared" si="703"/>
        <v>-0.10344827586206895</v>
      </c>
      <c r="M157" s="75">
        <f t="shared" si="703"/>
        <v>-0.10344827586206895</v>
      </c>
      <c r="N157" s="75">
        <f t="shared" si="703"/>
        <v>-0.10344827586206895</v>
      </c>
    </row>
    <row r="158" spans="1:14" x14ac:dyDescent="0.3">
      <c r="A158" s="43" t="s">
        <v>138</v>
      </c>
      <c r="B158" s="46" t="str">
        <f t="shared" ref="B158" si="704">+IFERROR(B156-B157,"nm")</f>
        <v>nm</v>
      </c>
      <c r="C158" s="46" t="str">
        <f t="shared" ref="C158:I158" si="705">+IFERROR(C156-C157,"nm")</f>
        <v>nm</v>
      </c>
      <c r="D158" s="46" t="str">
        <f t="shared" si="705"/>
        <v>nm</v>
      </c>
      <c r="E158" s="46" t="str">
        <f t="shared" si="705"/>
        <v>nm</v>
      </c>
      <c r="F158" s="46">
        <f t="shared" si="705"/>
        <v>0</v>
      </c>
      <c r="G158" s="46">
        <f t="shared" si="705"/>
        <v>0</v>
      </c>
      <c r="H158" s="46">
        <f t="shared" si="705"/>
        <v>0</v>
      </c>
      <c r="I158" s="46">
        <f t="shared" si="705"/>
        <v>0</v>
      </c>
      <c r="J158" s="71">
        <v>0</v>
      </c>
      <c r="K158" s="71">
        <f t="shared" si="703"/>
        <v>0</v>
      </c>
      <c r="L158" s="71">
        <f t="shared" si="703"/>
        <v>0</v>
      </c>
      <c r="M158" s="71">
        <f t="shared" si="703"/>
        <v>0</v>
      </c>
      <c r="N158" s="71">
        <f t="shared" si="703"/>
        <v>0</v>
      </c>
    </row>
    <row r="159" spans="1:14" x14ac:dyDescent="0.3">
      <c r="A159" s="44" t="s">
        <v>121</v>
      </c>
      <c r="B159" s="3">
        <f>+Historicals!B129</f>
        <v>1982</v>
      </c>
      <c r="C159" s="3">
        <f>+Historicals!C129</f>
        <v>1955</v>
      </c>
      <c r="D159" s="3">
        <f>+Historicals!D129</f>
        <v>2042</v>
      </c>
      <c r="E159" s="3">
        <f>+Historicals!E129</f>
        <v>103</v>
      </c>
      <c r="F159" s="3">
        <f>+Historicals!F129</f>
        <v>106</v>
      </c>
      <c r="G159" s="3">
        <f>+Historicals!G129</f>
        <v>90</v>
      </c>
      <c r="H159" s="3">
        <f>+Historicals!H129</f>
        <v>86</v>
      </c>
      <c r="I159" s="3">
        <f>+Historicals!I129</f>
        <v>123</v>
      </c>
      <c r="J159" s="70">
        <f>+I159*(1+J160)</f>
        <v>175.91860465116281</v>
      </c>
      <c r="K159" s="70">
        <f t="shared" ref="K159:N159" si="706">+J159*(1+K160)</f>
        <v>251.60451595457008</v>
      </c>
      <c r="L159" s="70">
        <f t="shared" si="706"/>
        <v>359.85297049316421</v>
      </c>
      <c r="M159" s="70">
        <f t="shared" si="706"/>
        <v>514.67343454254888</v>
      </c>
      <c r="N159" s="70">
        <f t="shared" si="706"/>
        <v>736.10270289225014</v>
      </c>
    </row>
    <row r="160" spans="1:14" x14ac:dyDescent="0.3">
      <c r="A160" s="43" t="s">
        <v>129</v>
      </c>
      <c r="B160" s="46" t="str">
        <f t="shared" ref="B160" si="707">+IFERROR(B159/A159-1,"nm")</f>
        <v>nm</v>
      </c>
      <c r="C160" s="46">
        <f t="shared" ref="C160" si="708">+IFERROR(C159/B159-1,"nm")</f>
        <v>-1.3622603430877955E-2</v>
      </c>
      <c r="D160" s="46">
        <f t="shared" ref="D160" si="709">+IFERROR(D159/C159-1,"nm")</f>
        <v>4.4501278772378416E-2</v>
      </c>
      <c r="E160" s="46">
        <f t="shared" ref="E160" si="710">+IFERROR(E159/D159-1,"nm")</f>
        <v>-0.9495592556317336</v>
      </c>
      <c r="F160" s="46">
        <f t="shared" ref="F160" si="711">+IFERROR(F159/E159-1,"nm")</f>
        <v>2.9126213592232997E-2</v>
      </c>
      <c r="G160" s="46">
        <f t="shared" ref="G160" si="712">+IFERROR(G159/F159-1,"nm")</f>
        <v>-0.15094339622641506</v>
      </c>
      <c r="H160" s="46">
        <f t="shared" ref="H160" si="713">+IFERROR(H159/G159-1,"nm")</f>
        <v>-4.4444444444444398E-2</v>
      </c>
      <c r="I160" s="46">
        <f t="shared" ref="I160" si="714">+IFERROR(I159/H159-1,"nm")</f>
        <v>0.43023255813953498</v>
      </c>
      <c r="J160" s="69">
        <f>+J161+J162</f>
        <v>0.43023255813953498</v>
      </c>
      <c r="K160" s="69">
        <f t="shared" ref="K160:N160" si="715">+K161+K162</f>
        <v>0.43023255813953498</v>
      </c>
      <c r="L160" s="69">
        <f t="shared" si="715"/>
        <v>0.43023255813953498</v>
      </c>
      <c r="M160" s="69">
        <f t="shared" si="715"/>
        <v>0.43023255813953498</v>
      </c>
      <c r="N160" s="69">
        <f t="shared" si="715"/>
        <v>0.43023255813953498</v>
      </c>
    </row>
    <row r="161" spans="1:14" x14ac:dyDescent="0.3">
      <c r="A161" s="43" t="s">
        <v>137</v>
      </c>
      <c r="B161" s="46" t="str">
        <f>+Historicals!B201</f>
        <v>nm</v>
      </c>
      <c r="C161" s="46">
        <f>+Historicals!C201</f>
        <v>-1.3622603430877955E-2</v>
      </c>
      <c r="D161" s="46">
        <f>+Historicals!D201</f>
        <v>4.4501278772378416E-2</v>
      </c>
      <c r="E161" s="46">
        <f>+Historicals!E201</f>
        <v>-0.9495592556317336</v>
      </c>
      <c r="F161" s="46">
        <f>+Historicals!F201</f>
        <v>2.9126213592232997E-2</v>
      </c>
      <c r="G161" s="46">
        <f>+Historicals!G201</f>
        <v>-0.15094339622641506</v>
      </c>
      <c r="H161" s="46">
        <f>+Historicals!H201</f>
        <v>-4.4444444444444398E-2</v>
      </c>
      <c r="I161" s="46">
        <f>+Historicals!I201</f>
        <v>0.43023255813953498</v>
      </c>
      <c r="J161" s="75">
        <f>I161</f>
        <v>0.43023255813953498</v>
      </c>
      <c r="K161" s="75">
        <f t="shared" ref="K161:N162" si="716">+J161</f>
        <v>0.43023255813953498</v>
      </c>
      <c r="L161" s="75">
        <f t="shared" si="716"/>
        <v>0.43023255813953498</v>
      </c>
      <c r="M161" s="75">
        <f t="shared" si="716"/>
        <v>0.43023255813953498</v>
      </c>
      <c r="N161" s="75">
        <f t="shared" si="716"/>
        <v>0.43023255813953498</v>
      </c>
    </row>
    <row r="162" spans="1:14" x14ac:dyDescent="0.3">
      <c r="A162" s="43" t="s">
        <v>138</v>
      </c>
      <c r="B162" s="46" t="str">
        <f t="shared" ref="B162" si="717">+IFERROR(B160-B161,"nm")</f>
        <v>nm</v>
      </c>
      <c r="C162" s="46">
        <f t="shared" ref="C162:I162" si="718">+IFERROR(C160-C161,"nm")</f>
        <v>0</v>
      </c>
      <c r="D162" s="46">
        <f t="shared" si="718"/>
        <v>0</v>
      </c>
      <c r="E162" s="46">
        <f t="shared" si="718"/>
        <v>0</v>
      </c>
      <c r="F162" s="46">
        <f t="shared" si="718"/>
        <v>0</v>
      </c>
      <c r="G162" s="46">
        <f t="shared" si="718"/>
        <v>0</v>
      </c>
      <c r="H162" s="46">
        <f t="shared" si="718"/>
        <v>0</v>
      </c>
      <c r="I162" s="46">
        <f t="shared" si="718"/>
        <v>0</v>
      </c>
      <c r="J162" s="71">
        <v>0</v>
      </c>
      <c r="K162" s="71">
        <f t="shared" si="716"/>
        <v>0</v>
      </c>
      <c r="L162" s="71">
        <f t="shared" si="716"/>
        <v>0</v>
      </c>
      <c r="M162" s="71">
        <f t="shared" si="716"/>
        <v>0</v>
      </c>
      <c r="N162" s="71">
        <f t="shared" si="716"/>
        <v>0</v>
      </c>
    </row>
    <row r="163" spans="1:14" x14ac:dyDescent="0.3">
      <c r="A163" s="9" t="s">
        <v>130</v>
      </c>
      <c r="B163" s="47">
        <f t="shared" ref="B163" si="719">+B170+B166</f>
        <v>535</v>
      </c>
      <c r="C163" s="47">
        <f t="shared" ref="C163:I163" si="720">+C170+C166</f>
        <v>514</v>
      </c>
      <c r="D163" s="47">
        <f t="shared" si="720"/>
        <v>505</v>
      </c>
      <c r="E163" s="47">
        <f t="shared" si="720"/>
        <v>343</v>
      </c>
      <c r="F163" s="47">
        <f t="shared" si="720"/>
        <v>334</v>
      </c>
      <c r="G163" s="47">
        <f t="shared" si="720"/>
        <v>322</v>
      </c>
      <c r="H163" s="47">
        <f t="shared" si="720"/>
        <v>569</v>
      </c>
      <c r="I163" s="47">
        <f t="shared" si="720"/>
        <v>691</v>
      </c>
      <c r="J163" s="72">
        <f>+J145*J165</f>
        <v>739.04355011179723</v>
      </c>
      <c r="K163" s="72">
        <f t="shared" ref="K163:N163" si="721">+K145*K165</f>
        <v>795.70179229772373</v>
      </c>
      <c r="L163" s="72">
        <f t="shared" si="721"/>
        <v>863.95053707641068</v>
      </c>
      <c r="M163" s="72">
        <f t="shared" si="721"/>
        <v>948.01314185124966</v>
      </c>
      <c r="N163" s="72">
        <f t="shared" si="721"/>
        <v>1053.8947507114683</v>
      </c>
    </row>
    <row r="164" spans="1:14" x14ac:dyDescent="0.3">
      <c r="A164" s="45" t="s">
        <v>129</v>
      </c>
      <c r="B164" s="46" t="str">
        <f t="shared" ref="B164" si="722">+IFERROR(B163/A163-1,"nm")</f>
        <v>nm</v>
      </c>
      <c r="C164" s="46">
        <f t="shared" ref="C164" si="723">+IFERROR(C163/B163-1,"nm")</f>
        <v>-3.9252336448598157E-2</v>
      </c>
      <c r="D164" s="46">
        <f t="shared" ref="D164" si="724">+IFERROR(D163/C163-1,"nm")</f>
        <v>-1.7509727626459193E-2</v>
      </c>
      <c r="E164" s="46">
        <f t="shared" ref="E164" si="725">+IFERROR(E163/D163-1,"nm")</f>
        <v>-0.32079207920792074</v>
      </c>
      <c r="F164" s="46">
        <f t="shared" ref="F164" si="726">+IFERROR(F163/E163-1,"nm")</f>
        <v>-2.6239067055393583E-2</v>
      </c>
      <c r="G164" s="46">
        <f t="shared" ref="G164" si="727">+IFERROR(G163/F163-1,"nm")</f>
        <v>-3.59281437125748E-2</v>
      </c>
      <c r="H164" s="46">
        <f t="shared" ref="H164" si="728">+IFERROR(H163/G163-1,"nm")</f>
        <v>0.76708074534161486</v>
      </c>
      <c r="I164" s="46">
        <f t="shared" ref="I164" si="729">+IFERROR(I163/H163-1,"nm")</f>
        <v>0.21441124780316345</v>
      </c>
      <c r="J164" s="46">
        <f t="shared" ref="J164" si="730">+IFERROR(J163/I163-1,"nm")</f>
        <v>6.9527568902745696E-2</v>
      </c>
      <c r="K164" s="46">
        <f t="shared" ref="K164" si="731">+IFERROR(K163/J163-1,"nm")</f>
        <v>7.6664280714384914E-2</v>
      </c>
      <c r="L164" s="46">
        <f t="shared" ref="L164" si="732">+IFERROR(L163/K163-1,"nm")</f>
        <v>8.5771762033622023E-2</v>
      </c>
      <c r="M164" s="46">
        <f t="shared" ref="M164" si="733">+IFERROR(M163/L163-1,"nm")</f>
        <v>9.7300251770552793E-2</v>
      </c>
      <c r="N164" s="46">
        <f t="shared" ref="N164" si="734">+IFERROR(N163/M163-1,"nm")</f>
        <v>0.11168791252561805</v>
      </c>
    </row>
    <row r="165" spans="1:14" x14ac:dyDescent="0.3">
      <c r="A165" s="45" t="s">
        <v>131</v>
      </c>
      <c r="B165" s="46">
        <f>+IFERROR(B163/B$145,"nm")</f>
        <v>0.26992936427850656</v>
      </c>
      <c r="C165" s="46">
        <f t="shared" ref="C165:I165" si="735">+IFERROR(C163/C$145,"nm")</f>
        <v>0.26291560102301792</v>
      </c>
      <c r="D165" s="46">
        <f t="shared" si="735"/>
        <v>0.24730656219392752</v>
      </c>
      <c r="E165" s="46">
        <f t="shared" si="735"/>
        <v>0.18186638388123011</v>
      </c>
      <c r="F165" s="46">
        <f t="shared" si="735"/>
        <v>0.17523609653725078</v>
      </c>
      <c r="G165" s="46">
        <f t="shared" si="735"/>
        <v>0.17443120260021669</v>
      </c>
      <c r="H165" s="46">
        <f t="shared" si="735"/>
        <v>0.25804988662131517</v>
      </c>
      <c r="I165" s="46">
        <f t="shared" si="735"/>
        <v>0.29454390451832907</v>
      </c>
      <c r="J165" s="71">
        <f>+I165</f>
        <v>0.29454390451832907</v>
      </c>
      <c r="K165" s="71">
        <f t="shared" ref="K165:N165" si="736">+J165</f>
        <v>0.29454390451832907</v>
      </c>
      <c r="L165" s="71">
        <f t="shared" si="736"/>
        <v>0.29454390451832907</v>
      </c>
      <c r="M165" s="71">
        <f t="shared" si="736"/>
        <v>0.29454390451832907</v>
      </c>
      <c r="N165" s="71">
        <f t="shared" si="736"/>
        <v>0.29454390451832907</v>
      </c>
    </row>
    <row r="166" spans="1:14" x14ac:dyDescent="0.3">
      <c r="A166" s="9" t="s">
        <v>132</v>
      </c>
      <c r="B166" s="9">
        <f>+Historicals!B173</f>
        <v>18</v>
      </c>
      <c r="C166" s="9">
        <f>+Historicals!C173</f>
        <v>27</v>
      </c>
      <c r="D166" s="9">
        <f>+Historicals!D173</f>
        <v>28</v>
      </c>
      <c r="E166" s="9">
        <f>+Historicals!E173</f>
        <v>33</v>
      </c>
      <c r="F166" s="9">
        <f>+Historicals!F173</f>
        <v>31</v>
      </c>
      <c r="G166" s="9">
        <f>+Historicals!G173</f>
        <v>25</v>
      </c>
      <c r="H166" s="9">
        <f>+Historicals!H173</f>
        <v>26</v>
      </c>
      <c r="I166" s="9">
        <f>+Historicals!I173</f>
        <v>22</v>
      </c>
      <c r="J166" s="72">
        <f>+J169*J176</f>
        <v>23.529606515860404</v>
      </c>
      <c r="K166" s="72">
        <f t="shared" ref="K166:N166" si="737">+K169*K176</f>
        <v>25.333486874891353</v>
      </c>
      <c r="L166" s="72">
        <f t="shared" si="737"/>
        <v>27.50638468260642</v>
      </c>
      <c r="M166" s="72">
        <f t="shared" si="737"/>
        <v>30.182762837521697</v>
      </c>
      <c r="N166" s="72">
        <f t="shared" si="737"/>
        <v>33.553812613100291</v>
      </c>
    </row>
    <row r="167" spans="1:14" x14ac:dyDescent="0.3">
      <c r="A167" s="45" t="s">
        <v>129</v>
      </c>
      <c r="B167" s="46" t="str">
        <f t="shared" ref="B167" si="738">+IFERROR(B166/A166-1,"nm")</f>
        <v>nm</v>
      </c>
      <c r="C167" s="46">
        <f t="shared" ref="C167" si="739">+IFERROR(C166/B166-1,"nm")</f>
        <v>0.5</v>
      </c>
      <c r="D167" s="46">
        <f t="shared" ref="D167" si="740">+IFERROR(D166/C166-1,"nm")</f>
        <v>3.7037037037036979E-2</v>
      </c>
      <c r="E167" s="46">
        <f t="shared" ref="E167" si="741">+IFERROR(E166/D166-1,"nm")</f>
        <v>0.1785714285714286</v>
      </c>
      <c r="F167" s="46">
        <f t="shared" ref="F167" si="742">+IFERROR(F166/E166-1,"nm")</f>
        <v>-6.0606060606060552E-2</v>
      </c>
      <c r="G167" s="46">
        <f t="shared" ref="G167" si="743">+IFERROR(G166/F166-1,"nm")</f>
        <v>-0.19354838709677424</v>
      </c>
      <c r="H167" s="46">
        <f t="shared" ref="H167" si="744">+IFERROR(H166/G166-1,"nm")</f>
        <v>4.0000000000000036E-2</v>
      </c>
      <c r="I167" s="46">
        <f t="shared" ref="I167" si="745">+IFERROR(I166/H166-1,"nm")</f>
        <v>-0.15384615384615385</v>
      </c>
      <c r="J167" s="46">
        <f t="shared" ref="J167" si="746">+IFERROR(J166/I166-1,"nm")</f>
        <v>6.9527568902745696E-2</v>
      </c>
      <c r="K167" s="46">
        <f t="shared" ref="K167" si="747">+IFERROR(K166/J166-1,"nm")</f>
        <v>7.6664280714385136E-2</v>
      </c>
      <c r="L167" s="46">
        <f t="shared" ref="L167" si="748">+IFERROR(L166/K166-1,"nm")</f>
        <v>8.5771762033622023E-2</v>
      </c>
      <c r="M167" s="46">
        <f t="shared" ref="M167" si="749">+IFERROR(M166/L166-1,"nm")</f>
        <v>9.730025177055257E-2</v>
      </c>
      <c r="N167" s="46">
        <f t="shared" ref="N167" si="750">+IFERROR(N166/M166-1,"nm")</f>
        <v>0.11168791252561783</v>
      </c>
    </row>
    <row r="168" spans="1:14" x14ac:dyDescent="0.3">
      <c r="A168" s="45" t="s">
        <v>133</v>
      </c>
      <c r="B168" s="46">
        <f>+IFERROR(B166/B$145,"nm")</f>
        <v>9.0817356205852677E-3</v>
      </c>
      <c r="C168" s="46">
        <f t="shared" ref="C168:N168" si="751">+IFERROR(C166/C$145,"nm")</f>
        <v>1.3810741687979539E-2</v>
      </c>
      <c r="D168" s="46">
        <f t="shared" si="751"/>
        <v>1.3712047012732615E-2</v>
      </c>
      <c r="E168" s="46">
        <f t="shared" si="751"/>
        <v>1.7497348886532343E-2</v>
      </c>
      <c r="F168" s="46">
        <f t="shared" si="751"/>
        <v>1.6264428121720881E-2</v>
      </c>
      <c r="G168" s="46">
        <f t="shared" si="751"/>
        <v>1.3542795232936078E-2</v>
      </c>
      <c r="H168" s="46">
        <f t="shared" si="751"/>
        <v>1.1791383219954649E-2</v>
      </c>
      <c r="I168" s="46">
        <f t="shared" si="751"/>
        <v>9.3776641091219103E-3</v>
      </c>
      <c r="J168" s="46">
        <f t="shared" si="751"/>
        <v>9.3776641091219103E-3</v>
      </c>
      <c r="K168" s="46">
        <f t="shared" si="751"/>
        <v>9.3776641091219103E-3</v>
      </c>
      <c r="L168" s="46">
        <f t="shared" si="751"/>
        <v>9.3776641091219103E-3</v>
      </c>
      <c r="M168" s="46">
        <f t="shared" si="751"/>
        <v>9.3776641091219103E-3</v>
      </c>
      <c r="N168" s="46">
        <f t="shared" si="751"/>
        <v>9.3776641091219085E-3</v>
      </c>
    </row>
    <row r="169" spans="1:14" x14ac:dyDescent="0.3">
      <c r="A169" s="45" t="s">
        <v>140</v>
      </c>
      <c r="B169" s="46">
        <f t="shared" ref="B169" si="752">+IFERROR(B166/B176,"nm")</f>
        <v>0.14754098360655737</v>
      </c>
      <c r="C169" s="46">
        <f t="shared" ref="C169:I169" si="753">+IFERROR(C166/C176,"nm")</f>
        <v>0.216</v>
      </c>
      <c r="D169" s="46">
        <f t="shared" si="753"/>
        <v>0.224</v>
      </c>
      <c r="E169" s="46">
        <f t="shared" si="753"/>
        <v>0.28695652173913044</v>
      </c>
      <c r="F169" s="46">
        <f t="shared" si="753"/>
        <v>0.31</v>
      </c>
      <c r="G169" s="46">
        <f t="shared" si="753"/>
        <v>0.3125</v>
      </c>
      <c r="H169" s="46">
        <f t="shared" si="753"/>
        <v>0.41269841269841268</v>
      </c>
      <c r="I169" s="46">
        <f t="shared" si="753"/>
        <v>0.44897959183673469</v>
      </c>
      <c r="J169" s="71">
        <f>+I169</f>
        <v>0.44897959183673469</v>
      </c>
      <c r="K169" s="71">
        <f t="shared" ref="K169:N169" si="754">+J169</f>
        <v>0.44897959183673469</v>
      </c>
      <c r="L169" s="71">
        <f t="shared" si="754"/>
        <v>0.44897959183673469</v>
      </c>
      <c r="M169" s="71">
        <f t="shared" si="754"/>
        <v>0.44897959183673469</v>
      </c>
      <c r="N169" s="71">
        <f t="shared" si="754"/>
        <v>0.44897959183673469</v>
      </c>
    </row>
    <row r="170" spans="1:14" x14ac:dyDescent="0.3">
      <c r="A170" s="9" t="s">
        <v>134</v>
      </c>
      <c r="B170" s="9">
        <f>+Historicals!B140</f>
        <v>517</v>
      </c>
      <c r="C170" s="9">
        <f>+Historicals!C140</f>
        <v>487</v>
      </c>
      <c r="D170" s="9">
        <f>+Historicals!D140</f>
        <v>477</v>
      </c>
      <c r="E170" s="9">
        <f>+Historicals!E140</f>
        <v>310</v>
      </c>
      <c r="F170" s="9">
        <f>+Historicals!F140</f>
        <v>303</v>
      </c>
      <c r="G170" s="9">
        <f>+Historicals!G140</f>
        <v>297</v>
      </c>
      <c r="H170" s="9">
        <f>+Historicals!H140</f>
        <v>543</v>
      </c>
      <c r="I170" s="9">
        <f>+Historicals!I140</f>
        <v>669</v>
      </c>
      <c r="J170" s="68">
        <f>+J163-J166</f>
        <v>715.51394359593678</v>
      </c>
      <c r="K170" s="68">
        <f t="shared" ref="K170:N170" si="755">+K163-K166</f>
        <v>770.36830542283235</v>
      </c>
      <c r="L170" s="68">
        <f t="shared" si="755"/>
        <v>836.4441523938043</v>
      </c>
      <c r="M170" s="68">
        <f t="shared" si="755"/>
        <v>917.83037901372791</v>
      </c>
      <c r="N170" s="68">
        <f t="shared" si="755"/>
        <v>1020.340938098368</v>
      </c>
    </row>
    <row r="171" spans="1:14" x14ac:dyDescent="0.3">
      <c r="A171" s="45" t="s">
        <v>129</v>
      </c>
      <c r="B171" s="46" t="str">
        <f t="shared" ref="B171" si="756">+IFERROR(B170/A170-1,"nm")</f>
        <v>nm</v>
      </c>
      <c r="C171" s="46">
        <f t="shared" ref="C171" si="757">+IFERROR(C170/B170-1,"nm")</f>
        <v>-5.8027079303675011E-2</v>
      </c>
      <c r="D171" s="46">
        <f t="shared" ref="D171" si="758">+IFERROR(D170/C170-1,"nm")</f>
        <v>-2.0533880903490731E-2</v>
      </c>
      <c r="E171" s="46">
        <f t="shared" ref="E171" si="759">+IFERROR(E170/D170-1,"nm")</f>
        <v>-0.35010482180293501</v>
      </c>
      <c r="F171" s="46">
        <f t="shared" ref="F171" si="760">+IFERROR(F170/E170-1,"nm")</f>
        <v>-2.2580645161290325E-2</v>
      </c>
      <c r="G171" s="46">
        <f t="shared" ref="G171" si="761">+IFERROR(G170/F170-1,"nm")</f>
        <v>-1.980198019801982E-2</v>
      </c>
      <c r="H171" s="46">
        <f t="shared" ref="H171" si="762">+IFERROR(H170/G170-1,"nm")</f>
        <v>0.82828282828282829</v>
      </c>
      <c r="I171" s="46">
        <f t="shared" ref="I171" si="763">+IFERROR(I170/H170-1,"nm")</f>
        <v>0.2320441988950277</v>
      </c>
      <c r="J171" s="46">
        <f t="shared" ref="J171" si="764">+IFERROR(J170/I170-1,"nm")</f>
        <v>6.9527568902745474E-2</v>
      </c>
      <c r="K171" s="46">
        <f t="shared" ref="K171" si="765">+IFERROR(K170/J170-1,"nm")</f>
        <v>7.6664280714385136E-2</v>
      </c>
      <c r="L171" s="46">
        <f t="shared" ref="L171" si="766">+IFERROR(L170/K170-1,"nm")</f>
        <v>8.5771762033622245E-2</v>
      </c>
      <c r="M171" s="46">
        <f t="shared" ref="M171" si="767">+IFERROR(M170/L170-1,"nm")</f>
        <v>9.730025177055257E-2</v>
      </c>
      <c r="N171" s="46">
        <f t="shared" ref="N171" si="768">+IFERROR(N170/M170-1,"nm")</f>
        <v>0.11168791252561805</v>
      </c>
    </row>
    <row r="172" spans="1:14" x14ac:dyDescent="0.3">
      <c r="A172" s="45" t="s">
        <v>131</v>
      </c>
      <c r="B172" s="46">
        <f>+IFERROR(B170/B$145,"nm")</f>
        <v>0.26084762865792127</v>
      </c>
      <c r="C172" s="46">
        <f t="shared" ref="C172:N172" si="769">+IFERROR(C170/C$145,"nm")</f>
        <v>0.24910485933503837</v>
      </c>
      <c r="D172" s="46">
        <f t="shared" si="769"/>
        <v>0.23359451518119489</v>
      </c>
      <c r="E172" s="46">
        <f t="shared" si="769"/>
        <v>0.16436903499469777</v>
      </c>
      <c r="F172" s="46">
        <f t="shared" si="769"/>
        <v>0.1589716684155299</v>
      </c>
      <c r="G172" s="46">
        <f t="shared" si="769"/>
        <v>0.16088840736728061</v>
      </c>
      <c r="H172" s="46">
        <f t="shared" si="769"/>
        <v>0.24625850340136055</v>
      </c>
      <c r="I172" s="46">
        <f t="shared" si="769"/>
        <v>0.28516624040920718</v>
      </c>
      <c r="J172" s="46">
        <f t="shared" si="769"/>
        <v>0.28516624040920713</v>
      </c>
      <c r="K172" s="46">
        <f t="shared" si="769"/>
        <v>0.28516624040920713</v>
      </c>
      <c r="L172" s="46">
        <f t="shared" si="769"/>
        <v>0.28516624040920718</v>
      </c>
      <c r="M172" s="46">
        <f t="shared" si="769"/>
        <v>0.28516624040920713</v>
      </c>
      <c r="N172" s="46">
        <f t="shared" si="769"/>
        <v>0.28516624040920718</v>
      </c>
    </row>
    <row r="173" spans="1:14" x14ac:dyDescent="0.3">
      <c r="A173" s="9" t="s">
        <v>135</v>
      </c>
      <c r="B173" s="9">
        <f>+Historicals!B162</f>
        <v>69</v>
      </c>
      <c r="C173" s="9">
        <f>+Historicals!C162</f>
        <v>39</v>
      </c>
      <c r="D173" s="9">
        <f>+Historicals!D162</f>
        <v>30</v>
      </c>
      <c r="E173" s="9">
        <f>+Historicals!E162</f>
        <v>22</v>
      </c>
      <c r="F173" s="9">
        <f>+Historicals!F162</f>
        <v>18</v>
      </c>
      <c r="G173" s="9">
        <f>+Historicals!G162</f>
        <v>12</v>
      </c>
      <c r="H173" s="9">
        <f>+Historicals!H162</f>
        <v>7</v>
      </c>
      <c r="I173" s="9">
        <f>+Historicals!I162</f>
        <v>9</v>
      </c>
      <c r="J173" s="72">
        <f>+J145*J175</f>
        <v>9.6257481201247117</v>
      </c>
      <c r="K173" s="72">
        <f t="shared" ref="K173:N173" si="770">+K145*K175</f>
        <v>10.363699176091917</v>
      </c>
      <c r="L173" s="72">
        <f t="shared" si="770"/>
        <v>11.252611915611716</v>
      </c>
      <c r="M173" s="72">
        <f t="shared" si="770"/>
        <v>12.347493888077057</v>
      </c>
      <c r="N173" s="72">
        <f t="shared" si="770"/>
        <v>13.726559705359211</v>
      </c>
    </row>
    <row r="174" spans="1:14" x14ac:dyDescent="0.3">
      <c r="A174" s="45" t="s">
        <v>129</v>
      </c>
      <c r="B174" s="46" t="str">
        <f t="shared" ref="B174" si="771">+IFERROR(B173/A173-1,"nm")</f>
        <v>nm</v>
      </c>
      <c r="C174" s="46">
        <f t="shared" ref="C174" si="772">+IFERROR(C173/B173-1,"nm")</f>
        <v>-0.43478260869565222</v>
      </c>
      <c r="D174" s="46">
        <f t="shared" ref="D174" si="773">+IFERROR(D173/C173-1,"nm")</f>
        <v>-0.23076923076923073</v>
      </c>
      <c r="E174" s="46">
        <f t="shared" ref="E174" si="774">+IFERROR(E173/D173-1,"nm")</f>
        <v>-0.26666666666666672</v>
      </c>
      <c r="F174" s="46">
        <f t="shared" ref="F174" si="775">+IFERROR(F173/E173-1,"nm")</f>
        <v>-0.18181818181818177</v>
      </c>
      <c r="G174" s="46">
        <f t="shared" ref="G174" si="776">+IFERROR(G173/F173-1,"nm")</f>
        <v>-0.33333333333333337</v>
      </c>
      <c r="H174" s="46">
        <f t="shared" ref="H174" si="777">+IFERROR(H173/G173-1,"nm")</f>
        <v>-0.41666666666666663</v>
      </c>
      <c r="I174" s="46">
        <f t="shared" ref="I174" si="778">+IFERROR(I173/H173-1,"nm")</f>
        <v>0.28571428571428581</v>
      </c>
      <c r="J174" s="46">
        <f t="shared" ref="J174" si="779">+IFERROR(J173/I173-1,"nm")</f>
        <v>6.9527568902745696E-2</v>
      </c>
      <c r="K174" s="46">
        <f t="shared" ref="K174" si="780">+IFERROR(K173/J173-1,"nm")</f>
        <v>7.6664280714385136E-2</v>
      </c>
      <c r="L174" s="46">
        <f t="shared" ref="L174" si="781">+IFERROR(L173/K173-1,"nm")</f>
        <v>8.5771762033622023E-2</v>
      </c>
      <c r="M174" s="46">
        <f t="shared" ref="M174" si="782">+IFERROR(M173/L173-1,"nm")</f>
        <v>9.7300251770552793E-2</v>
      </c>
      <c r="N174" s="46">
        <f t="shared" ref="N174" si="783">+IFERROR(N173/M173-1,"nm")</f>
        <v>0.11168791252561805</v>
      </c>
    </row>
    <row r="175" spans="1:14" x14ac:dyDescent="0.3">
      <c r="A175" s="45" t="s">
        <v>133</v>
      </c>
      <c r="B175" s="46">
        <f>+IFERROR(B173/B$145,"nm")</f>
        <v>3.481331987891019E-2</v>
      </c>
      <c r="C175" s="46">
        <f t="shared" ref="C175:I175" si="784">+IFERROR(C173/C$145,"nm")</f>
        <v>1.9948849104859334E-2</v>
      </c>
      <c r="D175" s="46">
        <f t="shared" si="784"/>
        <v>1.4691478942213516E-2</v>
      </c>
      <c r="E175" s="46">
        <f t="shared" si="784"/>
        <v>1.166489925768823E-2</v>
      </c>
      <c r="F175" s="46">
        <f t="shared" si="784"/>
        <v>9.4438614900314802E-3</v>
      </c>
      <c r="G175" s="46">
        <f t="shared" si="784"/>
        <v>6.5005417118093175E-3</v>
      </c>
      <c r="H175" s="46">
        <f t="shared" si="784"/>
        <v>3.1746031746031746E-3</v>
      </c>
      <c r="I175" s="46">
        <f t="shared" si="784"/>
        <v>3.8363171355498722E-3</v>
      </c>
      <c r="J175" s="71">
        <f>+I175</f>
        <v>3.8363171355498722E-3</v>
      </c>
      <c r="K175" s="71">
        <f t="shared" ref="K175:N175" si="785">+J175</f>
        <v>3.8363171355498722E-3</v>
      </c>
      <c r="L175" s="71">
        <f t="shared" si="785"/>
        <v>3.8363171355498722E-3</v>
      </c>
      <c r="M175" s="71">
        <f t="shared" si="785"/>
        <v>3.8363171355498722E-3</v>
      </c>
      <c r="N175" s="71">
        <f t="shared" si="785"/>
        <v>3.8363171355498722E-3</v>
      </c>
    </row>
    <row r="176" spans="1:14" x14ac:dyDescent="0.3">
      <c r="A176" s="9" t="s">
        <v>141</v>
      </c>
      <c r="B176" s="9">
        <f>+Historicals!B151</f>
        <v>122</v>
      </c>
      <c r="C176" s="9">
        <f>+Historicals!C151</f>
        <v>125</v>
      </c>
      <c r="D176" s="9">
        <f>+Historicals!D151</f>
        <v>125</v>
      </c>
      <c r="E176" s="9">
        <f>+Historicals!E151</f>
        <v>115</v>
      </c>
      <c r="F176" s="9">
        <f>+Historicals!F151</f>
        <v>100</v>
      </c>
      <c r="G176" s="9">
        <f>+Historicals!G151</f>
        <v>80</v>
      </c>
      <c r="H176" s="9">
        <f>+Historicals!H151</f>
        <v>63</v>
      </c>
      <c r="I176" s="9">
        <f>+Historicals!I151</f>
        <v>49</v>
      </c>
      <c r="J176" s="72">
        <f>+J145*J178</f>
        <v>52.406850876234536</v>
      </c>
      <c r="K176" s="72">
        <f t="shared" ref="K176:N176" si="786">+K145*K178</f>
        <v>56.424584403167103</v>
      </c>
      <c r="L176" s="72">
        <f t="shared" si="786"/>
        <v>61.264220429441572</v>
      </c>
      <c r="M176" s="72">
        <f t="shared" si="786"/>
        <v>67.225244501752869</v>
      </c>
      <c r="N176" s="72">
        <f t="shared" si="786"/>
        <v>74.733491729177928</v>
      </c>
    </row>
    <row r="177" spans="1:16" x14ac:dyDescent="0.3">
      <c r="A177" s="45" t="s">
        <v>129</v>
      </c>
      <c r="B177" s="46" t="str">
        <f t="shared" ref="B177" si="787">+IFERROR(B176/A176-1,"nm")</f>
        <v>nm</v>
      </c>
      <c r="C177" s="46">
        <f t="shared" ref="C177" si="788">+IFERROR(C176/B176-1,"nm")</f>
        <v>2.4590163934426146E-2</v>
      </c>
      <c r="D177" s="46">
        <f t="shared" ref="D177" si="789">+IFERROR(D176/C176-1,"nm")</f>
        <v>0</v>
      </c>
      <c r="E177" s="46">
        <f t="shared" ref="E177" si="790">+IFERROR(E176/D176-1,"nm")</f>
        <v>-7.999999999999996E-2</v>
      </c>
      <c r="F177" s="46">
        <f t="shared" ref="F177" si="791">+IFERROR(F176/E176-1,"nm")</f>
        <v>-0.13043478260869568</v>
      </c>
      <c r="G177" s="46">
        <f t="shared" ref="G177" si="792">+IFERROR(G176/F176-1,"nm")</f>
        <v>-0.19999999999999996</v>
      </c>
      <c r="H177" s="46">
        <f t="shared" ref="H177" si="793">+IFERROR(H176/G176-1,"nm")</f>
        <v>-0.21250000000000002</v>
      </c>
      <c r="I177" s="46">
        <f t="shared" ref="I177" si="794">+IFERROR(I176/H176-1,"nm")</f>
        <v>-0.22222222222222221</v>
      </c>
      <c r="J177" s="46">
        <f t="shared" ref="J177" si="795">+IFERROR(J176/I176-1,"nm")</f>
        <v>6.9527568902745696E-2</v>
      </c>
      <c r="K177" s="46">
        <f t="shared" ref="K177" si="796">+IFERROR(K176/J176-1,"nm")</f>
        <v>7.6664280714385136E-2</v>
      </c>
      <c r="L177" s="46">
        <f t="shared" ref="L177" si="797">+IFERROR(L176/K176-1,"nm")</f>
        <v>8.5771762033622023E-2</v>
      </c>
      <c r="M177" s="46">
        <f t="shared" ref="M177" si="798">+IFERROR(M176/L176-1,"nm")</f>
        <v>9.730025177055257E-2</v>
      </c>
      <c r="N177" s="46">
        <f t="shared" ref="N177" si="799">+IFERROR(N176/M176-1,"nm")</f>
        <v>0.11168791252561805</v>
      </c>
    </row>
    <row r="178" spans="1:16" x14ac:dyDescent="0.3">
      <c r="A178" s="45" t="s">
        <v>133</v>
      </c>
      <c r="B178" s="46">
        <f>+IFERROR(B176/B$145,"nm")</f>
        <v>6.1553985872855703E-2</v>
      </c>
      <c r="C178" s="46">
        <f t="shared" ref="C178:I178" si="800">+IFERROR(C176/C$145,"nm")</f>
        <v>6.3938618925831206E-2</v>
      </c>
      <c r="D178" s="46">
        <f t="shared" si="800"/>
        <v>6.1214495592556317E-2</v>
      </c>
      <c r="E178" s="46">
        <f t="shared" si="800"/>
        <v>6.097560975609756E-2</v>
      </c>
      <c r="F178" s="46">
        <f t="shared" si="800"/>
        <v>5.2465897166841552E-2</v>
      </c>
      <c r="G178" s="46">
        <f t="shared" si="800"/>
        <v>4.3336944745395449E-2</v>
      </c>
      <c r="H178" s="46">
        <f t="shared" si="800"/>
        <v>2.8571428571428571E-2</v>
      </c>
      <c r="I178" s="46">
        <f t="shared" si="800"/>
        <v>2.0886615515771527E-2</v>
      </c>
      <c r="J178" s="71">
        <f>+I178</f>
        <v>2.0886615515771527E-2</v>
      </c>
      <c r="K178" s="71">
        <f t="shared" ref="K178:N178" si="801">+J178</f>
        <v>2.0886615515771527E-2</v>
      </c>
      <c r="L178" s="71">
        <f t="shared" si="801"/>
        <v>2.0886615515771527E-2</v>
      </c>
      <c r="M178" s="71">
        <f t="shared" si="801"/>
        <v>2.0886615515771527E-2</v>
      </c>
      <c r="N178" s="71">
        <f t="shared" si="801"/>
        <v>2.0886615515771527E-2</v>
      </c>
    </row>
    <row r="179" spans="1:16" x14ac:dyDescent="0.3">
      <c r="A179" s="42" t="s">
        <v>107</v>
      </c>
      <c r="B179" s="42"/>
      <c r="C179" s="42"/>
      <c r="D179" s="42"/>
      <c r="E179" s="42"/>
      <c r="F179" s="42"/>
      <c r="G179" s="42"/>
      <c r="H179" s="42"/>
      <c r="I179" s="42"/>
      <c r="J179" s="38"/>
      <c r="K179" s="38"/>
      <c r="L179" s="38"/>
      <c r="M179" s="38"/>
      <c r="N179" s="38"/>
    </row>
    <row r="180" spans="1:16" x14ac:dyDescent="0.3">
      <c r="A180" s="9" t="s">
        <v>136</v>
      </c>
      <c r="B180" s="68">
        <f>+Historicals!B123</f>
        <v>115</v>
      </c>
      <c r="C180" s="68">
        <f>+Historicals!C123</f>
        <v>73</v>
      </c>
      <c r="D180" s="68">
        <f>+Historicals!D123</f>
        <v>73</v>
      </c>
      <c r="E180" s="68">
        <f>+Historicals!E123</f>
        <v>88</v>
      </c>
      <c r="F180" s="68">
        <f>+Historicals!F123</f>
        <v>42</v>
      </c>
      <c r="G180" s="68">
        <f>+Historicals!G123</f>
        <v>30</v>
      </c>
      <c r="H180" s="68">
        <f>+Historicals!H123</f>
        <v>25</v>
      </c>
      <c r="I180" s="68">
        <f>+Historicals!I123</f>
        <v>102</v>
      </c>
      <c r="J180" s="68">
        <f>I180*(1+J181)</f>
        <v>58.140000000000008</v>
      </c>
      <c r="K180" s="68">
        <f t="shared" ref="K180:N180" si="802">J180*(1+K181)</f>
        <v>43.605000000000004</v>
      </c>
      <c r="L180" s="68">
        <f t="shared" si="802"/>
        <v>32.703749999999999</v>
      </c>
      <c r="M180" s="68">
        <f t="shared" si="802"/>
        <v>24.5278125</v>
      </c>
      <c r="N180" s="68">
        <f t="shared" si="802"/>
        <v>18.395859375000001</v>
      </c>
    </row>
    <row r="181" spans="1:16" x14ac:dyDescent="0.3">
      <c r="A181" s="43" t="s">
        <v>129</v>
      </c>
      <c r="B181" s="69" t="str">
        <f t="shared" ref="B181" si="803">+IFERROR(B180/A180-1,"nm")</f>
        <v>nm</v>
      </c>
      <c r="C181" s="69">
        <f t="shared" ref="C181" si="804">+IFERROR(C180/B180-1,"nm")</f>
        <v>-0.36521739130434783</v>
      </c>
      <c r="D181" s="69">
        <f t="shared" ref="D181" si="805">+IFERROR(D180/C180-1,"nm")</f>
        <v>0</v>
      </c>
      <c r="E181" s="69">
        <f t="shared" ref="E181" si="806">+IFERROR(E180/D180-1,"nm")</f>
        <v>0.20547945205479445</v>
      </c>
      <c r="F181" s="69">
        <f t="shared" ref="F181" si="807">+IFERROR(F180/E180-1,"nm")</f>
        <v>-0.52272727272727271</v>
      </c>
      <c r="G181" s="69">
        <f t="shared" ref="G181" si="808">+IFERROR(G180/F180-1,"nm")</f>
        <v>-0.2857142857142857</v>
      </c>
      <c r="H181" s="69">
        <f t="shared" ref="H181" si="809">+IFERROR(H180/G180-1,"nm")</f>
        <v>-0.16666666666666663</v>
      </c>
      <c r="I181" s="69">
        <f t="shared" ref="I181" si="810">+IFERROR(I180/H180-1,"nm")</f>
        <v>3.08</v>
      </c>
      <c r="J181" s="76">
        <v>-0.43</v>
      </c>
      <c r="K181" s="76">
        <v>-0.25</v>
      </c>
      <c r="L181" s="76">
        <v>-0.25</v>
      </c>
      <c r="M181" s="76">
        <v>-0.25</v>
      </c>
      <c r="N181" s="76">
        <v>-0.25</v>
      </c>
      <c r="P181" t="s">
        <v>272</v>
      </c>
    </row>
    <row r="182" spans="1:16" x14ac:dyDescent="0.3">
      <c r="A182" s="9" t="s">
        <v>130</v>
      </c>
      <c r="B182" s="72">
        <f t="shared" ref="B182" si="811">+B189+B185</f>
        <v>-2057</v>
      </c>
      <c r="C182" s="72">
        <f t="shared" ref="C182:I182" si="812">+C189+C185</f>
        <v>-2366</v>
      </c>
      <c r="D182" s="72">
        <f t="shared" si="812"/>
        <v>-2444</v>
      </c>
      <c r="E182" s="72">
        <f t="shared" si="812"/>
        <v>-2441</v>
      </c>
      <c r="F182" s="72">
        <f t="shared" si="812"/>
        <v>-3067</v>
      </c>
      <c r="G182" s="72">
        <f t="shared" si="812"/>
        <v>-3254</v>
      </c>
      <c r="H182" s="72">
        <f t="shared" si="812"/>
        <v>-3434</v>
      </c>
      <c r="I182" s="72">
        <f t="shared" si="812"/>
        <v>-4042</v>
      </c>
      <c r="J182" s="72">
        <f>+J180*J184</f>
        <v>-2303.94</v>
      </c>
      <c r="K182" s="72">
        <f>+K180*K184</f>
        <v>-1727.9550000000002</v>
      </c>
      <c r="L182" s="72">
        <f>+L180*L184</f>
        <v>-1295.9662499999999</v>
      </c>
      <c r="M182" s="72">
        <f>+M180*M184</f>
        <v>-971.97468749999996</v>
      </c>
      <c r="N182" s="72">
        <f>+N180*N184</f>
        <v>-728.98101562499994</v>
      </c>
    </row>
    <row r="183" spans="1:16" x14ac:dyDescent="0.3">
      <c r="A183" s="45" t="s">
        <v>129</v>
      </c>
      <c r="B183" s="69" t="str">
        <f t="shared" ref="B183" si="813">+IFERROR(B182/A182-1,"nm")</f>
        <v>nm</v>
      </c>
      <c r="C183" s="69">
        <f t="shared" ref="C183" si="814">+IFERROR(C182/B182-1,"nm")</f>
        <v>0.15021876519202726</v>
      </c>
      <c r="D183" s="69">
        <f t="shared" ref="D183" si="815">+IFERROR(D182/C182-1,"nm")</f>
        <v>3.2967032967033072E-2</v>
      </c>
      <c r="E183" s="69">
        <f t="shared" ref="E183" si="816">+IFERROR(E182/D182-1,"nm")</f>
        <v>-1.2274959083469206E-3</v>
      </c>
      <c r="F183" s="69">
        <f t="shared" ref="F183" si="817">+IFERROR(F182/E182-1,"nm")</f>
        <v>0.25645227365833678</v>
      </c>
      <c r="G183" s="69">
        <f t="shared" ref="G183" si="818">+IFERROR(G182/F182-1,"nm")</f>
        <v>6.0971633518095869E-2</v>
      </c>
      <c r="H183" s="69">
        <f t="shared" ref="H183" si="819">+IFERROR(H182/G182-1,"nm")</f>
        <v>5.5316533497234088E-2</v>
      </c>
      <c r="I183" s="69">
        <f t="shared" ref="I183" si="820">+IFERROR(I182/H182-1,"nm")</f>
        <v>0.1770529994175889</v>
      </c>
      <c r="J183" s="69">
        <f t="shared" ref="J183:N183" si="821">+IFERROR(J182/I182-1,"nm")</f>
        <v>-0.42999999999999994</v>
      </c>
      <c r="K183" s="69">
        <f t="shared" si="821"/>
        <v>-0.25</v>
      </c>
      <c r="L183" s="69">
        <f t="shared" si="821"/>
        <v>-0.25000000000000011</v>
      </c>
      <c r="M183" s="69">
        <f t="shared" si="821"/>
        <v>-0.25</v>
      </c>
      <c r="N183" s="69">
        <f t="shared" si="821"/>
        <v>-0.25</v>
      </c>
    </row>
    <row r="184" spans="1:16" x14ac:dyDescent="0.3">
      <c r="A184" s="45" t="s">
        <v>131</v>
      </c>
      <c r="B184" s="69">
        <f>+IFERROR(B182/B$180,"nm")</f>
        <v>-17.88695652173913</v>
      </c>
      <c r="C184" s="69">
        <f t="shared" ref="C184:I184" si="822">+IFERROR(C182/C$180,"nm")</f>
        <v>-32.410958904109592</v>
      </c>
      <c r="D184" s="69">
        <f t="shared" si="822"/>
        <v>-33.479452054794521</v>
      </c>
      <c r="E184" s="69">
        <f t="shared" si="822"/>
        <v>-27.738636363636363</v>
      </c>
      <c r="F184" s="69">
        <f t="shared" si="822"/>
        <v>-73.023809523809518</v>
      </c>
      <c r="G184" s="69">
        <f t="shared" si="822"/>
        <v>-108.46666666666667</v>
      </c>
      <c r="H184" s="69">
        <f t="shared" si="822"/>
        <v>-137.36000000000001</v>
      </c>
      <c r="I184" s="69">
        <f t="shared" si="822"/>
        <v>-39.627450980392155</v>
      </c>
      <c r="J184" s="71">
        <f>+I184</f>
        <v>-39.627450980392155</v>
      </c>
      <c r="K184" s="71">
        <f t="shared" ref="K184:N184" si="823">+J184</f>
        <v>-39.627450980392155</v>
      </c>
      <c r="L184" s="71">
        <f t="shared" si="823"/>
        <v>-39.627450980392155</v>
      </c>
      <c r="M184" s="71">
        <f t="shared" si="823"/>
        <v>-39.627450980392155</v>
      </c>
      <c r="N184" s="71">
        <f t="shared" si="823"/>
        <v>-39.627450980392155</v>
      </c>
    </row>
    <row r="185" spans="1:16" x14ac:dyDescent="0.3">
      <c r="A185" s="9" t="s">
        <v>132</v>
      </c>
      <c r="B185" s="68">
        <f>+Historicals!B171</f>
        <v>210</v>
      </c>
      <c r="C185" s="68">
        <f>+Historicals!C171</f>
        <v>230</v>
      </c>
      <c r="D185" s="68">
        <f>+Historicals!D171</f>
        <v>233</v>
      </c>
      <c r="E185" s="68">
        <f>+Historicals!E171</f>
        <v>217</v>
      </c>
      <c r="F185" s="68">
        <f>+Historicals!F171</f>
        <v>195</v>
      </c>
      <c r="G185" s="68">
        <f>+Historicals!G171</f>
        <v>214</v>
      </c>
      <c r="H185" s="68">
        <f>+Historicals!H171</f>
        <v>222</v>
      </c>
      <c r="I185" s="68">
        <f>+Historicals!I171</f>
        <v>220</v>
      </c>
      <c r="J185" s="72">
        <f>+J188*J195</f>
        <v>125.4</v>
      </c>
      <c r="K185" s="72">
        <f t="shared" ref="K185:N185" si="824">+K188*K195</f>
        <v>94.05</v>
      </c>
      <c r="L185" s="72">
        <f t="shared" si="824"/>
        <v>70.537499999999994</v>
      </c>
      <c r="M185" s="72">
        <f t="shared" si="824"/>
        <v>52.903124999999989</v>
      </c>
      <c r="N185" s="72">
        <f t="shared" si="824"/>
        <v>39.677343749999999</v>
      </c>
    </row>
    <row r="186" spans="1:16" x14ac:dyDescent="0.3">
      <c r="A186" s="45" t="s">
        <v>129</v>
      </c>
      <c r="B186" s="69" t="str">
        <f t="shared" ref="B186" si="825">+IFERROR(B185/A185-1,"nm")</f>
        <v>nm</v>
      </c>
      <c r="C186" s="69">
        <f t="shared" ref="C186" si="826">+IFERROR(C185/B185-1,"nm")</f>
        <v>9.5238095238095344E-2</v>
      </c>
      <c r="D186" s="69">
        <f t="shared" ref="D186" si="827">+IFERROR(D185/C185-1,"nm")</f>
        <v>1.304347826086949E-2</v>
      </c>
      <c r="E186" s="69">
        <f t="shared" ref="E186" si="828">+IFERROR(E185/D185-1,"nm")</f>
        <v>-6.8669527896995763E-2</v>
      </c>
      <c r="F186" s="69">
        <f t="shared" ref="F186" si="829">+IFERROR(F185/E185-1,"nm")</f>
        <v>-0.10138248847926268</v>
      </c>
      <c r="G186" s="69">
        <f t="shared" ref="G186" si="830">+IFERROR(G185/F185-1,"nm")</f>
        <v>9.7435897435897534E-2</v>
      </c>
      <c r="H186" s="69">
        <f t="shared" ref="H186" si="831">+IFERROR(H185/G185-1,"nm")</f>
        <v>3.7383177570093462E-2</v>
      </c>
      <c r="I186" s="69">
        <f t="shared" ref="I186" si="832">+IFERROR(I185/H185-1,"nm")</f>
        <v>-9.009009009009028E-3</v>
      </c>
      <c r="J186" s="69">
        <f t="shared" ref="J186" si="833">+IFERROR(J185/I185-1,"nm")</f>
        <v>-0.42999999999999994</v>
      </c>
      <c r="K186" s="69">
        <f t="shared" ref="K186" si="834">+IFERROR(K185/J185-1,"nm")</f>
        <v>-0.25000000000000011</v>
      </c>
      <c r="L186" s="69">
        <f t="shared" ref="L186" si="835">+IFERROR(L185/K185-1,"nm")</f>
        <v>-0.25</v>
      </c>
      <c r="M186" s="69">
        <f t="shared" ref="M186" si="836">+IFERROR(M185/L185-1,"nm")</f>
        <v>-0.25000000000000011</v>
      </c>
      <c r="N186" s="69">
        <f t="shared" ref="N186" si="837">+IFERROR(N185/M185-1,"nm")</f>
        <v>-0.24999999999999989</v>
      </c>
    </row>
    <row r="187" spans="1:16" x14ac:dyDescent="0.3">
      <c r="A187" s="45" t="s">
        <v>133</v>
      </c>
      <c r="B187" s="69">
        <f>+IFERROR(B185/B$180,"nm")</f>
        <v>1.826086956521739</v>
      </c>
      <c r="C187" s="69">
        <f t="shared" ref="C187:N187" si="838">+IFERROR(C185/C$180,"nm")</f>
        <v>3.1506849315068495</v>
      </c>
      <c r="D187" s="69">
        <f t="shared" si="838"/>
        <v>3.1917808219178081</v>
      </c>
      <c r="E187" s="69">
        <f t="shared" si="838"/>
        <v>2.4659090909090908</v>
      </c>
      <c r="F187" s="69">
        <f t="shared" si="838"/>
        <v>4.6428571428571432</v>
      </c>
      <c r="G187" s="69">
        <f t="shared" si="838"/>
        <v>7.1333333333333337</v>
      </c>
      <c r="H187" s="69">
        <f t="shared" si="838"/>
        <v>8.8800000000000008</v>
      </c>
      <c r="I187" s="69">
        <f t="shared" si="838"/>
        <v>2.1568627450980391</v>
      </c>
      <c r="J187" s="69">
        <f t="shared" si="838"/>
        <v>2.1568627450980391</v>
      </c>
      <c r="K187" s="69">
        <f t="shared" si="838"/>
        <v>2.1568627450980391</v>
      </c>
      <c r="L187" s="69">
        <f t="shared" si="838"/>
        <v>2.1568627450980391</v>
      </c>
      <c r="M187" s="69">
        <f t="shared" si="838"/>
        <v>2.1568627450980387</v>
      </c>
      <c r="N187" s="69">
        <f t="shared" si="838"/>
        <v>2.1568627450980391</v>
      </c>
    </row>
    <row r="188" spans="1:16" x14ac:dyDescent="0.3">
      <c r="A188" s="45" t="s">
        <v>140</v>
      </c>
      <c r="B188" s="69">
        <f t="shared" ref="B188" si="839">+IFERROR(B185/B195,"nm")</f>
        <v>0.43388429752066116</v>
      </c>
      <c r="C188" s="69">
        <f t="shared" ref="C188:I188" si="840">+IFERROR(C185/C195,"nm")</f>
        <v>0.45009784735812131</v>
      </c>
      <c r="D188" s="69">
        <f t="shared" si="840"/>
        <v>0.43714821763602252</v>
      </c>
      <c r="E188" s="69">
        <f t="shared" si="840"/>
        <v>0.36348408710217756</v>
      </c>
      <c r="F188" s="69">
        <f t="shared" si="840"/>
        <v>0.2932330827067669</v>
      </c>
      <c r="G188" s="69">
        <f t="shared" si="840"/>
        <v>0.25783132530120484</v>
      </c>
      <c r="H188" s="69">
        <f t="shared" si="840"/>
        <v>0.2846153846153846</v>
      </c>
      <c r="I188" s="69">
        <f t="shared" si="840"/>
        <v>0.27883396704689478</v>
      </c>
      <c r="J188" s="71">
        <f>+I188</f>
        <v>0.27883396704689478</v>
      </c>
      <c r="K188" s="71">
        <f t="shared" ref="K188:N188" si="841">+J188</f>
        <v>0.27883396704689478</v>
      </c>
      <c r="L188" s="71">
        <f t="shared" si="841"/>
        <v>0.27883396704689478</v>
      </c>
      <c r="M188" s="71">
        <f t="shared" si="841"/>
        <v>0.27883396704689478</v>
      </c>
      <c r="N188" s="71">
        <f t="shared" si="841"/>
        <v>0.27883396704689478</v>
      </c>
    </row>
    <row r="189" spans="1:16" x14ac:dyDescent="0.3">
      <c r="A189" s="9" t="s">
        <v>134</v>
      </c>
      <c r="B189" s="68">
        <f>+Historicals!B138</f>
        <v>-2267</v>
      </c>
      <c r="C189" s="68">
        <f>+Historicals!C138</f>
        <v>-2596</v>
      </c>
      <c r="D189" s="68">
        <f>+Historicals!D138</f>
        <v>-2677</v>
      </c>
      <c r="E189" s="68">
        <f>+Historicals!E138</f>
        <v>-2658</v>
      </c>
      <c r="F189" s="68">
        <f>+Historicals!F138</f>
        <v>-3262</v>
      </c>
      <c r="G189" s="68">
        <f>+Historicals!G138</f>
        <v>-3468</v>
      </c>
      <c r="H189" s="68">
        <f>+Historicals!H138</f>
        <v>-3656</v>
      </c>
      <c r="I189" s="68">
        <f>+Historicals!I138</f>
        <v>-4262</v>
      </c>
      <c r="J189" s="68">
        <f>+J182-J185</f>
        <v>-2429.34</v>
      </c>
      <c r="K189" s="68">
        <f t="shared" ref="K189:N189" si="842">+K182-K185</f>
        <v>-1822.0050000000001</v>
      </c>
      <c r="L189" s="68">
        <f t="shared" si="842"/>
        <v>-1366.5037499999999</v>
      </c>
      <c r="M189" s="68">
        <f t="shared" si="842"/>
        <v>-1024.8778124999999</v>
      </c>
      <c r="N189" s="68">
        <f t="shared" si="842"/>
        <v>-768.65835937499992</v>
      </c>
    </row>
    <row r="190" spans="1:16" x14ac:dyDescent="0.3">
      <c r="A190" s="45" t="s">
        <v>129</v>
      </c>
      <c r="B190" s="69" t="str">
        <f t="shared" ref="B190:N190" si="843">+IFERROR(B189/A189-1,"nm")</f>
        <v>nm</v>
      </c>
      <c r="C190" s="69">
        <f t="shared" ref="C190" si="844">+IFERROR(C189/B189-1,"nm")</f>
        <v>0.145125716806352</v>
      </c>
      <c r="D190" s="69">
        <f t="shared" ref="D190" si="845">+IFERROR(D189/C189-1,"nm")</f>
        <v>3.1201848998459125E-2</v>
      </c>
      <c r="E190" s="69">
        <f t="shared" ref="E190" si="846">+IFERROR(E189/D189-1,"nm")</f>
        <v>-7.097497198356395E-3</v>
      </c>
      <c r="F190" s="69">
        <f t="shared" ref="F190" si="847">+IFERROR(F189/E189-1,"nm")</f>
        <v>0.22723852520692245</v>
      </c>
      <c r="G190" s="69">
        <f t="shared" ref="G190" si="848">+IFERROR(G189/F189-1,"nm")</f>
        <v>6.3151440833844275E-2</v>
      </c>
      <c r="H190" s="69">
        <f t="shared" ref="H190" si="849">+IFERROR(H189/G189-1,"nm")</f>
        <v>5.4209919261822392E-2</v>
      </c>
      <c r="I190" s="69">
        <f t="shared" ref="I190" si="850">+IFERROR(I189/H189-1,"nm")</f>
        <v>0.16575492341356668</v>
      </c>
      <c r="J190" s="69">
        <f t="shared" si="843"/>
        <v>-0.42999999999999994</v>
      </c>
      <c r="K190" s="69">
        <f t="shared" si="843"/>
        <v>-0.25</v>
      </c>
      <c r="L190" s="69">
        <f t="shared" si="843"/>
        <v>-0.25000000000000011</v>
      </c>
      <c r="M190" s="69">
        <f t="shared" si="843"/>
        <v>-0.25</v>
      </c>
      <c r="N190" s="69">
        <f t="shared" si="843"/>
        <v>-0.25</v>
      </c>
    </row>
    <row r="191" spans="1:16" x14ac:dyDescent="0.3">
      <c r="A191" s="45" t="s">
        <v>131</v>
      </c>
      <c r="B191" s="69">
        <f>+IFERROR(B189/B$180,"nm")</f>
        <v>-19.713043478260868</v>
      </c>
      <c r="C191" s="69">
        <f t="shared" ref="C191:N191" si="851">+IFERROR(C189/C$180,"nm")</f>
        <v>-35.561643835616437</v>
      </c>
      <c r="D191" s="69">
        <f t="shared" si="851"/>
        <v>-36.671232876712331</v>
      </c>
      <c r="E191" s="69">
        <f t="shared" si="851"/>
        <v>-30.204545454545453</v>
      </c>
      <c r="F191" s="69">
        <f t="shared" si="851"/>
        <v>-77.666666666666671</v>
      </c>
      <c r="G191" s="69">
        <f t="shared" si="851"/>
        <v>-115.6</v>
      </c>
      <c r="H191" s="69">
        <f t="shared" si="851"/>
        <v>-146.24</v>
      </c>
      <c r="I191" s="69">
        <f t="shared" si="851"/>
        <v>-41.784313725490193</v>
      </c>
      <c r="J191" s="69">
        <f t="shared" si="851"/>
        <v>-41.784313725490193</v>
      </c>
      <c r="K191" s="69">
        <f t="shared" si="851"/>
        <v>-41.784313725490193</v>
      </c>
      <c r="L191" s="69">
        <f t="shared" si="851"/>
        <v>-41.784313725490193</v>
      </c>
      <c r="M191" s="69">
        <f t="shared" si="851"/>
        <v>-41.784313725490193</v>
      </c>
      <c r="N191" s="69">
        <f t="shared" si="851"/>
        <v>-41.784313725490193</v>
      </c>
    </row>
    <row r="192" spans="1:16" x14ac:dyDescent="0.3">
      <c r="A192" s="9" t="s">
        <v>135</v>
      </c>
      <c r="B192" s="68">
        <f>+Historicals!B160</f>
        <v>225</v>
      </c>
      <c r="C192" s="68">
        <f>+Historicals!C160</f>
        <v>258</v>
      </c>
      <c r="D192" s="68">
        <f>+Historicals!D160</f>
        <v>278</v>
      </c>
      <c r="E192" s="68">
        <f>+Historicals!E160</f>
        <v>286</v>
      </c>
      <c r="F192" s="68">
        <f>+Historicals!F160</f>
        <v>278</v>
      </c>
      <c r="G192" s="68">
        <f>+Historicals!G160</f>
        <v>438</v>
      </c>
      <c r="H192" s="68">
        <f>+Historicals!H160</f>
        <v>278</v>
      </c>
      <c r="I192" s="68">
        <f>+Historicals!I160</f>
        <v>222</v>
      </c>
      <c r="J192" s="72">
        <f>+J180*J194</f>
        <v>126.54</v>
      </c>
      <c r="K192" s="72">
        <f>+K180*K194</f>
        <v>94.905000000000001</v>
      </c>
      <c r="L192" s="72">
        <f>+L180*L194</f>
        <v>71.178749999999994</v>
      </c>
      <c r="M192" s="72">
        <f>+M180*M194</f>
        <v>53.384062499999992</v>
      </c>
      <c r="N192" s="72">
        <f>+N180*N194</f>
        <v>40.038046874999999</v>
      </c>
    </row>
    <row r="193" spans="1:16" x14ac:dyDescent="0.3">
      <c r="A193" s="45" t="s">
        <v>129</v>
      </c>
      <c r="B193" s="69" t="str">
        <f t="shared" ref="B193" si="852">+IFERROR(B192/A192-1,"nm")</f>
        <v>nm</v>
      </c>
      <c r="C193" s="69">
        <f t="shared" ref="C193" si="853">+IFERROR(C192/B192-1,"nm")</f>
        <v>0.14666666666666672</v>
      </c>
      <c r="D193" s="69">
        <f t="shared" ref="D193" si="854">+IFERROR(D192/C192-1,"nm")</f>
        <v>7.7519379844961156E-2</v>
      </c>
      <c r="E193" s="69">
        <f t="shared" ref="E193" si="855">+IFERROR(E192/D192-1,"nm")</f>
        <v>2.877697841726623E-2</v>
      </c>
      <c r="F193" s="69">
        <f t="shared" ref="F193" si="856">+IFERROR(F192/E192-1,"nm")</f>
        <v>-2.7972027972028024E-2</v>
      </c>
      <c r="G193" s="69">
        <f t="shared" ref="G193" si="857">+IFERROR(G192/F192-1,"nm")</f>
        <v>0.57553956834532372</v>
      </c>
      <c r="H193" s="69">
        <f t="shared" ref="H193" si="858">+IFERROR(H192/G192-1,"nm")</f>
        <v>-0.36529680365296802</v>
      </c>
      <c r="I193" s="69">
        <f t="shared" ref="I193" si="859">+IFERROR(I192/H192-1,"nm")</f>
        <v>-0.20143884892086328</v>
      </c>
      <c r="J193" s="69">
        <f t="shared" ref="J193" si="860">+IFERROR(J192/I192-1,"nm")</f>
        <v>-0.42999999999999994</v>
      </c>
      <c r="K193" s="69">
        <f t="shared" ref="K193" si="861">+IFERROR(K192/J192-1,"nm")</f>
        <v>-0.25</v>
      </c>
      <c r="L193" s="69">
        <f t="shared" ref="L193" si="862">+IFERROR(L192/K192-1,"nm")</f>
        <v>-0.25000000000000011</v>
      </c>
      <c r="M193" s="69">
        <f t="shared" ref="M193" si="863">+IFERROR(M192/L192-1,"nm")</f>
        <v>-0.25</v>
      </c>
      <c r="N193" s="69">
        <f t="shared" ref="N193" si="864">+IFERROR(N192/M192-1,"nm")</f>
        <v>-0.24999999999999989</v>
      </c>
    </row>
    <row r="194" spans="1:16" x14ac:dyDescent="0.3">
      <c r="A194" s="45" t="s">
        <v>133</v>
      </c>
      <c r="B194" s="69">
        <f>+IFERROR(B192/B$180,"nm")</f>
        <v>1.9565217391304348</v>
      </c>
      <c r="C194" s="69">
        <f t="shared" ref="C194:I194" si="865">+IFERROR(C192/C$180,"nm")</f>
        <v>3.5342465753424657</v>
      </c>
      <c r="D194" s="69">
        <f t="shared" si="865"/>
        <v>3.8082191780821919</v>
      </c>
      <c r="E194" s="69">
        <f t="shared" si="865"/>
        <v>3.25</v>
      </c>
      <c r="F194" s="69">
        <f t="shared" si="865"/>
        <v>6.6190476190476186</v>
      </c>
      <c r="G194" s="69">
        <f t="shared" si="865"/>
        <v>14.6</v>
      </c>
      <c r="H194" s="69">
        <f t="shared" si="865"/>
        <v>11.12</v>
      </c>
      <c r="I194" s="69">
        <f t="shared" si="865"/>
        <v>2.1764705882352939</v>
      </c>
      <c r="J194" s="71">
        <f>+I194</f>
        <v>2.1764705882352939</v>
      </c>
      <c r="K194" s="71">
        <f t="shared" ref="K194:N194" si="866">+J194</f>
        <v>2.1764705882352939</v>
      </c>
      <c r="L194" s="71">
        <f t="shared" si="866"/>
        <v>2.1764705882352939</v>
      </c>
      <c r="M194" s="71">
        <f t="shared" si="866"/>
        <v>2.1764705882352939</v>
      </c>
      <c r="N194" s="71">
        <f t="shared" si="866"/>
        <v>2.1764705882352939</v>
      </c>
    </row>
    <row r="195" spans="1:16" x14ac:dyDescent="0.3">
      <c r="A195" s="9" t="s">
        <v>141</v>
      </c>
      <c r="B195" s="68">
        <f>+Historicals!B149</f>
        <v>484</v>
      </c>
      <c r="C195" s="68">
        <f>+Historicals!C149</f>
        <v>511</v>
      </c>
      <c r="D195" s="68">
        <f>+Historicals!D149</f>
        <v>533</v>
      </c>
      <c r="E195" s="68">
        <f>+Historicals!E149</f>
        <v>597</v>
      </c>
      <c r="F195" s="68">
        <f>+Historicals!F149</f>
        <v>665</v>
      </c>
      <c r="G195" s="68">
        <f>+Historicals!G149</f>
        <v>830</v>
      </c>
      <c r="H195" s="68">
        <f>+Historicals!H149</f>
        <v>780</v>
      </c>
      <c r="I195" s="68">
        <f>+Historicals!I149</f>
        <v>789</v>
      </c>
      <c r="J195" s="72">
        <f>+J180*J197</f>
        <v>449.73000000000008</v>
      </c>
      <c r="K195" s="72">
        <f t="shared" ref="K195:N195" si="867">+K180*K197</f>
        <v>337.29750000000001</v>
      </c>
      <c r="L195" s="72">
        <f t="shared" si="867"/>
        <v>252.97312500000001</v>
      </c>
      <c r="M195" s="72">
        <f t="shared" si="867"/>
        <v>189.72984374999999</v>
      </c>
      <c r="N195" s="72">
        <f t="shared" si="867"/>
        <v>142.29738281250002</v>
      </c>
    </row>
    <row r="196" spans="1:16" x14ac:dyDescent="0.3">
      <c r="A196" s="45" t="s">
        <v>129</v>
      </c>
      <c r="B196" s="69" t="str">
        <f t="shared" ref="B196" si="868">+IFERROR(B195/A195-1,"nm")</f>
        <v>nm</v>
      </c>
      <c r="C196" s="69">
        <f t="shared" ref="C196" si="869">+IFERROR(C195/B195-1,"nm")</f>
        <v>5.5785123966942241E-2</v>
      </c>
      <c r="D196" s="69">
        <f t="shared" ref="D196" si="870">+IFERROR(D195/C195-1,"nm")</f>
        <v>4.3052837573385627E-2</v>
      </c>
      <c r="E196" s="69">
        <f t="shared" ref="E196" si="871">+IFERROR(E195/D195-1,"nm")</f>
        <v>0.12007504690431525</v>
      </c>
      <c r="F196" s="69">
        <f t="shared" ref="F196" si="872">+IFERROR(F195/E195-1,"nm")</f>
        <v>0.11390284757118918</v>
      </c>
      <c r="G196" s="69">
        <f t="shared" ref="G196" si="873">+IFERROR(G195/F195-1,"nm")</f>
        <v>0.24812030075187974</v>
      </c>
      <c r="H196" s="69">
        <f t="shared" ref="H196" si="874">+IFERROR(H195/G195-1,"nm")</f>
        <v>-6.0240963855421659E-2</v>
      </c>
      <c r="I196" s="69">
        <f t="shared" ref="I196" si="875">+IFERROR(I195/H195-1,"nm")</f>
        <v>1.1538461538461497E-2</v>
      </c>
      <c r="J196" s="69">
        <f t="shared" ref="J196" si="876">+IFERROR(J195/I195-1,"nm")</f>
        <v>-0.42999999999999994</v>
      </c>
      <c r="K196" s="69">
        <f t="shared" ref="K196" si="877">+IFERROR(K195/J195-1,"nm")</f>
        <v>-0.25000000000000011</v>
      </c>
      <c r="L196" s="69">
        <f t="shared" ref="L196" si="878">+IFERROR(L195/K195-1,"nm")</f>
        <v>-0.25</v>
      </c>
      <c r="M196" s="69">
        <f t="shared" ref="M196" si="879">+IFERROR(M195/L195-1,"nm")</f>
        <v>-0.25000000000000011</v>
      </c>
      <c r="N196" s="69">
        <f t="shared" ref="N196" si="880">+IFERROR(N195/M195-1,"nm")</f>
        <v>-0.24999999999999989</v>
      </c>
    </row>
    <row r="197" spans="1:16" x14ac:dyDescent="0.3">
      <c r="A197" s="45" t="s">
        <v>133</v>
      </c>
      <c r="B197" s="69">
        <f>+IFERROR(B195/B$180,"nm")</f>
        <v>4.2086956521739127</v>
      </c>
      <c r="C197" s="69">
        <f t="shared" ref="C197:I197" si="881">+IFERROR(C195/C$180,"nm")</f>
        <v>7</v>
      </c>
      <c r="D197" s="69">
        <f t="shared" si="881"/>
        <v>7.3013698630136989</v>
      </c>
      <c r="E197" s="69">
        <f t="shared" si="881"/>
        <v>6.7840909090909092</v>
      </c>
      <c r="F197" s="69">
        <f t="shared" si="881"/>
        <v>15.833333333333334</v>
      </c>
      <c r="G197" s="69">
        <f t="shared" si="881"/>
        <v>27.666666666666668</v>
      </c>
      <c r="H197" s="69">
        <f t="shared" si="881"/>
        <v>31.2</v>
      </c>
      <c r="I197" s="69">
        <f t="shared" si="881"/>
        <v>7.7352941176470589</v>
      </c>
      <c r="J197" s="71">
        <f>+I197</f>
        <v>7.7352941176470589</v>
      </c>
      <c r="K197" s="71">
        <f t="shared" ref="K197:N197" si="882">+J197</f>
        <v>7.7352941176470589</v>
      </c>
      <c r="L197" s="71">
        <f t="shared" si="882"/>
        <v>7.7352941176470589</v>
      </c>
      <c r="M197" s="71">
        <f t="shared" si="882"/>
        <v>7.7352941176470589</v>
      </c>
      <c r="N197" s="71">
        <f t="shared" si="882"/>
        <v>7.7352941176470589</v>
      </c>
    </row>
    <row r="198" spans="1:16" x14ac:dyDescent="0.3">
      <c r="A198" s="42" t="s">
        <v>108</v>
      </c>
      <c r="B198" s="42"/>
      <c r="C198" s="42"/>
      <c r="D198" s="42"/>
      <c r="E198" s="42"/>
      <c r="F198" s="42"/>
      <c r="G198" s="42"/>
      <c r="H198" s="42"/>
      <c r="I198" s="42"/>
      <c r="J198" s="38"/>
      <c r="K198" s="38"/>
      <c r="L198" s="38"/>
      <c r="M198" s="38"/>
      <c r="N198" s="38"/>
    </row>
    <row r="199" spans="1:16" x14ac:dyDescent="0.3">
      <c r="A199" s="9" t="s">
        <v>136</v>
      </c>
      <c r="B199" s="68">
        <f>+Historicals!B130</f>
        <v>-82</v>
      </c>
      <c r="C199" s="68">
        <f>+Historicals!C130</f>
        <v>-86</v>
      </c>
      <c r="D199" s="68">
        <f>+Historicals!D130</f>
        <v>75</v>
      </c>
      <c r="E199" s="68">
        <f>+Historicals!E130</f>
        <v>26</v>
      </c>
      <c r="F199" s="68">
        <f>+Historicals!F130</f>
        <v>-7</v>
      </c>
      <c r="G199" s="68">
        <f>+Historicals!G130</f>
        <v>-11</v>
      </c>
      <c r="H199" s="68">
        <f>+Historicals!H130</f>
        <v>40</v>
      </c>
      <c r="I199" s="68">
        <f>+Historicals!I130</f>
        <v>-72</v>
      </c>
      <c r="J199" s="88">
        <v>27</v>
      </c>
      <c r="K199" s="88">
        <v>-25</v>
      </c>
      <c r="L199" s="88">
        <v>-30</v>
      </c>
      <c r="M199" s="88">
        <v>-35</v>
      </c>
      <c r="N199" s="88">
        <v>-40</v>
      </c>
      <c r="P199" t="s">
        <v>273</v>
      </c>
    </row>
    <row r="200" spans="1:16" x14ac:dyDescent="0.3">
      <c r="A200" s="43" t="s">
        <v>129</v>
      </c>
      <c r="B200" s="69" t="str">
        <f t="shared" ref="B200" si="883">+IFERROR(B199/A199-1,"nm")</f>
        <v>nm</v>
      </c>
      <c r="C200" s="69">
        <f t="shared" ref="C200" si="884">+IFERROR(C199/B199-1,"nm")</f>
        <v>4.8780487804878092E-2</v>
      </c>
      <c r="D200" s="69">
        <f t="shared" ref="D200" si="885">+IFERROR(D199/C199-1,"nm")</f>
        <v>-1.8720930232558139</v>
      </c>
      <c r="E200" s="69">
        <f t="shared" ref="E200" si="886">+IFERROR(E199/D199-1,"nm")</f>
        <v>-0.65333333333333332</v>
      </c>
      <c r="F200" s="69">
        <f t="shared" ref="F200" si="887">+IFERROR(F199/E199-1,"nm")</f>
        <v>-1.2692307692307692</v>
      </c>
      <c r="G200" s="69">
        <f t="shared" ref="G200" si="888">+IFERROR(G199/F199-1,"nm")</f>
        <v>0.5714285714285714</v>
      </c>
      <c r="H200" s="69">
        <f t="shared" ref="H200" si="889">+IFERROR(H199/G199-1,"nm")</f>
        <v>-4.6363636363636367</v>
      </c>
      <c r="I200" s="69">
        <f t="shared" ref="I200:K200" si="890">+IFERROR(I199/H199-1,"nm")</f>
        <v>-2.8</v>
      </c>
      <c r="J200" s="69">
        <f t="shared" si="890"/>
        <v>-1.375</v>
      </c>
      <c r="K200" s="69">
        <f t="shared" si="890"/>
        <v>-1.925925925925926</v>
      </c>
      <c r="L200" s="69">
        <f t="shared" ref="L200" si="891">+IFERROR(L199/K199-1,"nm")</f>
        <v>0.19999999999999996</v>
      </c>
      <c r="M200" s="69">
        <f t="shared" ref="M200" si="892">+IFERROR(M199/L199-1,"nm")</f>
        <v>0.16666666666666674</v>
      </c>
      <c r="N200" s="69">
        <f t="shared" ref="N200" si="893">+IFERROR(N199/M199-1,"nm")</f>
        <v>0.14285714285714279</v>
      </c>
    </row>
    <row r="201" spans="1:16" x14ac:dyDescent="0.3">
      <c r="A201" s="9" t="s">
        <v>130</v>
      </c>
      <c r="B201" s="72">
        <f t="shared" ref="B201" si="894">+B208+B204</f>
        <v>-1022</v>
      </c>
      <c r="C201" s="72">
        <f t="shared" ref="C201:I201" si="895">+C208+C204</f>
        <v>-1089</v>
      </c>
      <c r="D201" s="72">
        <f t="shared" si="895"/>
        <v>-633</v>
      </c>
      <c r="E201" s="72">
        <f t="shared" si="895"/>
        <v>-1346</v>
      </c>
      <c r="F201" s="72">
        <f t="shared" si="895"/>
        <v>-1694</v>
      </c>
      <c r="G201" s="72">
        <f t="shared" si="895"/>
        <v>-1855</v>
      </c>
      <c r="H201" s="72">
        <f t="shared" si="895"/>
        <v>-2120</v>
      </c>
      <c r="I201" s="72">
        <f t="shared" si="895"/>
        <v>-2085</v>
      </c>
      <c r="J201" s="72">
        <f>+J199*J203</f>
        <v>781.875</v>
      </c>
      <c r="K201" s="72">
        <f t="shared" ref="K201:N201" si="896">+K199*K203</f>
        <v>-723.95833333333326</v>
      </c>
      <c r="L201" s="72">
        <f t="shared" si="896"/>
        <v>-868.75</v>
      </c>
      <c r="M201" s="72">
        <f t="shared" si="896"/>
        <v>-1013.5416666666666</v>
      </c>
      <c r="N201" s="72">
        <f t="shared" si="896"/>
        <v>-1158.3333333333333</v>
      </c>
    </row>
    <row r="202" spans="1:16" x14ac:dyDescent="0.3">
      <c r="A202" s="45" t="s">
        <v>129</v>
      </c>
      <c r="B202" s="69" t="str">
        <f t="shared" ref="B202" si="897">+IFERROR(B201/A201-1,"nm")</f>
        <v>nm</v>
      </c>
      <c r="C202" s="69">
        <f t="shared" ref="C202" si="898">+IFERROR(C201/B201-1,"nm")</f>
        <v>6.5557729941291498E-2</v>
      </c>
      <c r="D202" s="69">
        <f t="shared" ref="D202" si="899">+IFERROR(D201/C201-1,"nm")</f>
        <v>-0.41873278236914602</v>
      </c>
      <c r="E202" s="69">
        <f t="shared" ref="E202" si="900">+IFERROR(E201/D201-1,"nm")</f>
        <v>1.126382306477093</v>
      </c>
      <c r="F202" s="69">
        <f t="shared" ref="F202" si="901">+IFERROR(F201/E201-1,"nm")</f>
        <v>0.25854383358098065</v>
      </c>
      <c r="G202" s="69">
        <f t="shared" ref="G202" si="902">+IFERROR(G201/F201-1,"nm")</f>
        <v>9.5041322314049603E-2</v>
      </c>
      <c r="H202" s="69">
        <f t="shared" ref="H202" si="903">+IFERROR(H201/G201-1,"nm")</f>
        <v>0.14285714285714279</v>
      </c>
      <c r="I202" s="69">
        <f t="shared" ref="I202" si="904">+IFERROR(I201/H201-1,"nm")</f>
        <v>-1.650943396226412E-2</v>
      </c>
      <c r="J202" s="69">
        <f t="shared" ref="J202" si="905">+IFERROR(J201/I201-1,"nm")</f>
        <v>-1.375</v>
      </c>
      <c r="K202" s="69">
        <f t="shared" ref="K202" si="906">+IFERROR(K201/J201-1,"nm")</f>
        <v>-1.9259259259259258</v>
      </c>
      <c r="L202" s="69">
        <f t="shared" ref="L202" si="907">+IFERROR(L201/K201-1,"nm")</f>
        <v>0.20000000000000018</v>
      </c>
      <c r="M202" s="69">
        <f t="shared" ref="M202" si="908">+IFERROR(M201/L201-1,"nm")</f>
        <v>0.16666666666666652</v>
      </c>
      <c r="N202" s="69">
        <f t="shared" ref="N202" si="909">+IFERROR(N201/M201-1,"nm")</f>
        <v>0.14285714285714279</v>
      </c>
    </row>
    <row r="203" spans="1:16" x14ac:dyDescent="0.3">
      <c r="A203" s="45" t="s">
        <v>131</v>
      </c>
      <c r="B203" s="69">
        <f>+IFERROR(B201/B$199,"nm")</f>
        <v>12.463414634146341</v>
      </c>
      <c r="C203" s="69">
        <f t="shared" ref="C203:I203" si="910">+IFERROR(C201/C$199,"nm")</f>
        <v>12.662790697674419</v>
      </c>
      <c r="D203" s="69">
        <f t="shared" si="910"/>
        <v>-8.44</v>
      </c>
      <c r="E203" s="69">
        <f t="shared" si="910"/>
        <v>-51.769230769230766</v>
      </c>
      <c r="F203" s="69">
        <f t="shared" si="910"/>
        <v>242</v>
      </c>
      <c r="G203" s="69">
        <f t="shared" si="910"/>
        <v>168.63636363636363</v>
      </c>
      <c r="H203" s="69">
        <f t="shared" si="910"/>
        <v>-53</v>
      </c>
      <c r="I203" s="69">
        <f t="shared" si="910"/>
        <v>28.958333333333332</v>
      </c>
      <c r="J203" s="71">
        <f>+I203</f>
        <v>28.958333333333332</v>
      </c>
      <c r="K203" s="71">
        <f t="shared" ref="K203:N203" si="911">+J203</f>
        <v>28.958333333333332</v>
      </c>
      <c r="L203" s="71">
        <f t="shared" si="911"/>
        <v>28.958333333333332</v>
      </c>
      <c r="M203" s="71">
        <f t="shared" si="911"/>
        <v>28.958333333333332</v>
      </c>
      <c r="N203" s="71">
        <f t="shared" si="911"/>
        <v>28.958333333333332</v>
      </c>
    </row>
    <row r="204" spans="1:16" x14ac:dyDescent="0.3">
      <c r="A204" s="9" t="s">
        <v>132</v>
      </c>
      <c r="B204" s="68">
        <f>+Historicals!B174</f>
        <v>75</v>
      </c>
      <c r="C204" s="68">
        <f>+Historicals!C174</f>
        <v>84</v>
      </c>
      <c r="D204" s="68">
        <f>+Historicals!D174</f>
        <v>91</v>
      </c>
      <c r="E204" s="68">
        <f>+Historicals!E174</f>
        <v>110</v>
      </c>
      <c r="F204" s="68">
        <f>+Historicals!F174</f>
        <v>116</v>
      </c>
      <c r="G204" s="68">
        <f>+Historicals!G174</f>
        <v>112</v>
      </c>
      <c r="H204" s="68">
        <f>+Historicals!H174</f>
        <v>141</v>
      </c>
      <c r="I204" s="68">
        <f>+Historicals!I174</f>
        <v>134</v>
      </c>
      <c r="J204" s="72">
        <f>+J207*J214</f>
        <v>-50.25</v>
      </c>
      <c r="K204" s="72">
        <f t="shared" ref="K204:N204" si="912">+K207*K214</f>
        <v>46.527777777777779</v>
      </c>
      <c r="L204" s="72">
        <f t="shared" si="912"/>
        <v>55.833333333333336</v>
      </c>
      <c r="M204" s="72">
        <f t="shared" si="912"/>
        <v>65.1388888888889</v>
      </c>
      <c r="N204" s="72">
        <f t="shared" si="912"/>
        <v>74.444444444444443</v>
      </c>
    </row>
    <row r="205" spans="1:16" x14ac:dyDescent="0.3">
      <c r="A205" s="45" t="s">
        <v>129</v>
      </c>
      <c r="B205" s="69" t="str">
        <f t="shared" ref="B205:N205" si="913">+IFERROR(B204/A204-1,"nm")</f>
        <v>nm</v>
      </c>
      <c r="C205" s="69">
        <f t="shared" ref="C205" si="914">+IFERROR(C204/B204-1,"nm")</f>
        <v>0.12000000000000011</v>
      </c>
      <c r="D205" s="69">
        <f t="shared" ref="D205" si="915">+IFERROR(D204/C204-1,"nm")</f>
        <v>8.3333333333333259E-2</v>
      </c>
      <c r="E205" s="69">
        <f t="shared" ref="E205" si="916">+IFERROR(E204/D204-1,"nm")</f>
        <v>0.20879120879120872</v>
      </c>
      <c r="F205" s="69">
        <f t="shared" ref="F205" si="917">+IFERROR(F204/E204-1,"nm")</f>
        <v>5.4545454545454453E-2</v>
      </c>
      <c r="G205" s="69">
        <f t="shared" ref="G205" si="918">+IFERROR(G204/F204-1,"nm")</f>
        <v>-3.4482758620689613E-2</v>
      </c>
      <c r="H205" s="69">
        <f t="shared" ref="H205" si="919">+IFERROR(H204/G204-1,"nm")</f>
        <v>0.2589285714285714</v>
      </c>
      <c r="I205" s="69">
        <f t="shared" ref="I205" si="920">+IFERROR(I204/H204-1,"nm")</f>
        <v>-4.9645390070921946E-2</v>
      </c>
      <c r="J205" s="69">
        <f t="shared" si="913"/>
        <v>-1.375</v>
      </c>
      <c r="K205" s="69">
        <f t="shared" si="913"/>
        <v>-1.925925925925926</v>
      </c>
      <c r="L205" s="69">
        <f t="shared" si="913"/>
        <v>0.19999999999999996</v>
      </c>
      <c r="M205" s="69">
        <f t="shared" si="913"/>
        <v>0.16666666666666674</v>
      </c>
      <c r="N205" s="69">
        <f t="shared" si="913"/>
        <v>0.14285714285714257</v>
      </c>
    </row>
    <row r="206" spans="1:16" x14ac:dyDescent="0.3">
      <c r="A206" s="45" t="s">
        <v>133</v>
      </c>
      <c r="B206" s="69">
        <f>+IFERROR(B204/B$199,"nm")</f>
        <v>-0.91463414634146345</v>
      </c>
      <c r="C206" s="69">
        <f t="shared" ref="C206:N206" si="921">+IFERROR(C204/C$199,"nm")</f>
        <v>-0.97674418604651159</v>
      </c>
      <c r="D206" s="69">
        <f t="shared" si="921"/>
        <v>1.2133333333333334</v>
      </c>
      <c r="E206" s="69">
        <f t="shared" si="921"/>
        <v>4.2307692307692308</v>
      </c>
      <c r="F206" s="69">
        <f t="shared" si="921"/>
        <v>-16.571428571428573</v>
      </c>
      <c r="G206" s="69">
        <f t="shared" si="921"/>
        <v>-10.181818181818182</v>
      </c>
      <c r="H206" s="69">
        <f t="shared" si="921"/>
        <v>3.5249999999999999</v>
      </c>
      <c r="I206" s="69">
        <f t="shared" si="921"/>
        <v>-1.8611111111111112</v>
      </c>
      <c r="J206" s="69">
        <f t="shared" si="921"/>
        <v>-1.8611111111111112</v>
      </c>
      <c r="K206" s="69">
        <f t="shared" si="921"/>
        <v>-1.8611111111111112</v>
      </c>
      <c r="L206" s="69">
        <f t="shared" si="921"/>
        <v>-1.8611111111111112</v>
      </c>
      <c r="M206" s="69">
        <f t="shared" si="921"/>
        <v>-1.8611111111111114</v>
      </c>
      <c r="N206" s="69">
        <f t="shared" si="921"/>
        <v>-1.8611111111111112</v>
      </c>
    </row>
    <row r="207" spans="1:16" x14ac:dyDescent="0.3">
      <c r="A207" s="45" t="s">
        <v>140</v>
      </c>
      <c r="B207" s="69">
        <f t="shared" ref="B207" si="922">+IFERROR(B204/B214,"nm")</f>
        <v>0.10518934081346423</v>
      </c>
      <c r="C207" s="69">
        <f t="shared" ref="C207:I207" si="923">+IFERROR(C204/C214,"nm")</f>
        <v>8.9647812166488788E-2</v>
      </c>
      <c r="D207" s="69">
        <f t="shared" si="923"/>
        <v>7.3505654281098551E-2</v>
      </c>
      <c r="E207" s="69">
        <f t="shared" si="923"/>
        <v>7.586206896551724E-2</v>
      </c>
      <c r="F207" s="69">
        <f t="shared" si="923"/>
        <v>6.9336521219366412E-2</v>
      </c>
      <c r="G207" s="69">
        <f t="shared" si="923"/>
        <v>5.845511482254697E-2</v>
      </c>
      <c r="H207" s="69">
        <f t="shared" si="923"/>
        <v>7.5401069518716571E-2</v>
      </c>
      <c r="I207" s="69">
        <f t="shared" si="923"/>
        <v>7.374793615850303E-2</v>
      </c>
      <c r="J207" s="71">
        <f>+I207</f>
        <v>7.374793615850303E-2</v>
      </c>
      <c r="K207" s="71">
        <f t="shared" ref="K207:N207" si="924">+J207</f>
        <v>7.374793615850303E-2</v>
      </c>
      <c r="L207" s="71">
        <f t="shared" si="924"/>
        <v>7.374793615850303E-2</v>
      </c>
      <c r="M207" s="71">
        <f t="shared" si="924"/>
        <v>7.374793615850303E-2</v>
      </c>
      <c r="N207" s="71">
        <f t="shared" si="924"/>
        <v>7.374793615850303E-2</v>
      </c>
    </row>
    <row r="208" spans="1:16" x14ac:dyDescent="0.3">
      <c r="A208" s="9" t="s">
        <v>134</v>
      </c>
      <c r="B208" s="68">
        <f>+Historicals!B141</f>
        <v>-1097</v>
      </c>
      <c r="C208" s="68">
        <f>+Historicals!C141</f>
        <v>-1173</v>
      </c>
      <c r="D208" s="68">
        <f>+Historicals!D141</f>
        <v>-724</v>
      </c>
      <c r="E208" s="68">
        <f>+Historicals!E141</f>
        <v>-1456</v>
      </c>
      <c r="F208" s="68">
        <f>+Historicals!F141</f>
        <v>-1810</v>
      </c>
      <c r="G208" s="68">
        <f>+Historicals!G141</f>
        <v>-1967</v>
      </c>
      <c r="H208" s="68">
        <f>+Historicals!H141</f>
        <v>-2261</v>
      </c>
      <c r="I208" s="68">
        <f>+Historicals!I141</f>
        <v>-2219</v>
      </c>
      <c r="J208" s="68">
        <f>+J201-J204</f>
        <v>832.125</v>
      </c>
      <c r="K208" s="68">
        <f t="shared" ref="K208:N208" si="925">+K201-K204</f>
        <v>-770.48611111111109</v>
      </c>
      <c r="L208" s="68">
        <f t="shared" si="925"/>
        <v>-924.58333333333337</v>
      </c>
      <c r="M208" s="68">
        <f t="shared" si="925"/>
        <v>-1078.6805555555554</v>
      </c>
      <c r="N208" s="68">
        <f t="shared" si="925"/>
        <v>-1232.7777777777776</v>
      </c>
    </row>
    <row r="209" spans="1:14" x14ac:dyDescent="0.3">
      <c r="A209" s="45" t="s">
        <v>129</v>
      </c>
      <c r="B209" s="69" t="str">
        <f t="shared" ref="B209:N209" si="926">+IFERROR(B208/A208-1,"nm")</f>
        <v>nm</v>
      </c>
      <c r="C209" s="69">
        <f t="shared" ref="C209" si="927">+IFERROR(C208/B208-1,"nm")</f>
        <v>6.9279854147675568E-2</v>
      </c>
      <c r="D209" s="69">
        <f t="shared" ref="D209" si="928">+IFERROR(D208/C208-1,"nm")</f>
        <v>-0.38277919863597609</v>
      </c>
      <c r="E209" s="69">
        <f t="shared" ref="E209" si="929">+IFERROR(E208/D208-1,"nm")</f>
        <v>1.0110497237569063</v>
      </c>
      <c r="F209" s="69">
        <f t="shared" ref="F209" si="930">+IFERROR(F208/E208-1,"nm")</f>
        <v>0.24313186813186816</v>
      </c>
      <c r="G209" s="69">
        <f t="shared" ref="G209" si="931">+IFERROR(G208/F208-1,"nm")</f>
        <v>8.6740331491712785E-2</v>
      </c>
      <c r="H209" s="69">
        <f t="shared" ref="H209" si="932">+IFERROR(H208/G208-1,"nm")</f>
        <v>0.14946619217081847</v>
      </c>
      <c r="I209" s="69">
        <f t="shared" ref="I209" si="933">+IFERROR(I208/H208-1,"nm")</f>
        <v>-1.8575851393188847E-2</v>
      </c>
      <c r="J209" s="69">
        <f t="shared" si="926"/>
        <v>-1.375</v>
      </c>
      <c r="K209" s="69">
        <f t="shared" si="926"/>
        <v>-1.925925925925926</v>
      </c>
      <c r="L209" s="69">
        <f t="shared" si="926"/>
        <v>0.20000000000000018</v>
      </c>
      <c r="M209" s="69">
        <f t="shared" si="926"/>
        <v>0.16666666666666652</v>
      </c>
      <c r="N209" s="69">
        <f t="shared" si="926"/>
        <v>0.14285714285714279</v>
      </c>
    </row>
    <row r="210" spans="1:14" x14ac:dyDescent="0.3">
      <c r="A210" s="45" t="s">
        <v>131</v>
      </c>
      <c r="B210" s="69">
        <f>+IFERROR(B208/B$199,"nm")</f>
        <v>13.378048780487806</v>
      </c>
      <c r="C210" s="69">
        <f t="shared" ref="C210:N210" si="934">+IFERROR(C208/C$199,"nm")</f>
        <v>13.63953488372093</v>
      </c>
      <c r="D210" s="69">
        <f t="shared" si="934"/>
        <v>-9.6533333333333342</v>
      </c>
      <c r="E210" s="69">
        <f t="shared" si="934"/>
        <v>-56</v>
      </c>
      <c r="F210" s="69">
        <f t="shared" si="934"/>
        <v>258.57142857142856</v>
      </c>
      <c r="G210" s="69">
        <f t="shared" si="934"/>
        <v>178.81818181818181</v>
      </c>
      <c r="H210" s="69">
        <f t="shared" si="934"/>
        <v>-56.524999999999999</v>
      </c>
      <c r="I210" s="69">
        <f t="shared" si="934"/>
        <v>30.819444444444443</v>
      </c>
      <c r="J210" s="69">
        <f t="shared" si="934"/>
        <v>30.819444444444443</v>
      </c>
      <c r="K210" s="69">
        <f t="shared" si="934"/>
        <v>30.819444444444443</v>
      </c>
      <c r="L210" s="69">
        <f t="shared" si="934"/>
        <v>30.819444444444446</v>
      </c>
      <c r="M210" s="69">
        <f t="shared" si="934"/>
        <v>30.819444444444439</v>
      </c>
      <c r="N210" s="69">
        <f t="shared" si="934"/>
        <v>30.819444444444439</v>
      </c>
    </row>
    <row r="211" spans="1:14" x14ac:dyDescent="0.3">
      <c r="A211" s="9" t="s">
        <v>135</v>
      </c>
      <c r="B211" s="68">
        <f>+Historicals!B163</f>
        <v>104</v>
      </c>
      <c r="C211" s="68">
        <f>+Historicals!C163</f>
        <v>264</v>
      </c>
      <c r="D211" s="68">
        <f>+Historicals!D163</f>
        <v>291</v>
      </c>
      <c r="E211" s="68">
        <f>+Historicals!E163</f>
        <v>159</v>
      </c>
      <c r="F211" s="68">
        <f>+Historicals!F163</f>
        <v>377</v>
      </c>
      <c r="G211" s="68">
        <f>+Historicals!G163</f>
        <v>318</v>
      </c>
      <c r="H211" s="68">
        <f>+Historicals!H163</f>
        <v>11</v>
      </c>
      <c r="I211" s="68">
        <f>+Historicals!I163</f>
        <v>50</v>
      </c>
      <c r="J211" s="72">
        <f>+J199*J213</f>
        <v>-18.75</v>
      </c>
      <c r="K211" s="72">
        <f t="shared" ref="K211:N211" si="935">+K199*K213</f>
        <v>17.361111111111111</v>
      </c>
      <c r="L211" s="72">
        <f t="shared" si="935"/>
        <v>20.833333333333332</v>
      </c>
      <c r="M211" s="72">
        <f t="shared" si="935"/>
        <v>24.305555555555554</v>
      </c>
      <c r="N211" s="72">
        <f t="shared" si="935"/>
        <v>27.777777777777779</v>
      </c>
    </row>
    <row r="212" spans="1:14" x14ac:dyDescent="0.3">
      <c r="A212" s="45" t="s">
        <v>129</v>
      </c>
      <c r="B212" s="69" t="str">
        <f t="shared" ref="B212" si="936">+IFERROR(B211/A211-1,"nm")</f>
        <v>nm</v>
      </c>
      <c r="C212" s="69">
        <f t="shared" ref="C212" si="937">+IFERROR(C211/B211-1,"nm")</f>
        <v>1.5384615384615383</v>
      </c>
      <c r="D212" s="69">
        <f t="shared" ref="D212" si="938">+IFERROR(D211/C211-1,"nm")</f>
        <v>0.10227272727272729</v>
      </c>
      <c r="E212" s="69">
        <f t="shared" ref="E212" si="939">+IFERROR(E211/D211-1,"nm")</f>
        <v>-0.45360824742268047</v>
      </c>
      <c r="F212" s="69">
        <f t="shared" ref="F212" si="940">+IFERROR(F211/E211-1,"nm")</f>
        <v>1.3710691823899372</v>
      </c>
      <c r="G212" s="69">
        <f t="shared" ref="G212" si="941">+IFERROR(G211/F211-1,"nm")</f>
        <v>-0.156498673740053</v>
      </c>
      <c r="H212" s="69">
        <f t="shared" ref="H212" si="942">+IFERROR(H211/G211-1,"nm")</f>
        <v>-0.96540880503144655</v>
      </c>
      <c r="I212" s="69">
        <f t="shared" ref="I212" si="943">+IFERROR(I211/H211-1,"nm")</f>
        <v>3.5454545454545459</v>
      </c>
      <c r="J212" s="69">
        <f t="shared" ref="J212" si="944">+IFERROR(J211/I211-1,"nm")</f>
        <v>-1.375</v>
      </c>
      <c r="K212" s="69">
        <f t="shared" ref="K212" si="945">+IFERROR(K211/J211-1,"nm")</f>
        <v>-1.925925925925926</v>
      </c>
      <c r="L212" s="69">
        <f t="shared" ref="L212" si="946">+IFERROR(L211/K211-1,"nm")</f>
        <v>0.19999999999999996</v>
      </c>
      <c r="M212" s="69">
        <f t="shared" ref="M212" si="947">+IFERROR(M211/L211-1,"nm")</f>
        <v>0.16666666666666674</v>
      </c>
      <c r="N212" s="69">
        <f t="shared" ref="N212" si="948">+IFERROR(N211/M211-1,"nm")</f>
        <v>0.14285714285714302</v>
      </c>
    </row>
    <row r="213" spans="1:14" x14ac:dyDescent="0.3">
      <c r="A213" s="45" t="s">
        <v>133</v>
      </c>
      <c r="B213" s="69">
        <f>+IFERROR(B211/B$199,"nm")</f>
        <v>-1.2682926829268293</v>
      </c>
      <c r="C213" s="69">
        <f t="shared" ref="C213:I213" si="949">+IFERROR(C211/C$199,"nm")</f>
        <v>-3.0697674418604652</v>
      </c>
      <c r="D213" s="69">
        <f t="shared" si="949"/>
        <v>3.88</v>
      </c>
      <c r="E213" s="69">
        <f t="shared" si="949"/>
        <v>6.115384615384615</v>
      </c>
      <c r="F213" s="69">
        <f t="shared" si="949"/>
        <v>-53.857142857142854</v>
      </c>
      <c r="G213" s="69">
        <f t="shared" si="949"/>
        <v>-28.90909090909091</v>
      </c>
      <c r="H213" s="69">
        <f t="shared" si="949"/>
        <v>0.27500000000000002</v>
      </c>
      <c r="I213" s="69">
        <f t="shared" si="949"/>
        <v>-0.69444444444444442</v>
      </c>
      <c r="J213" s="71">
        <f>+I213</f>
        <v>-0.69444444444444442</v>
      </c>
      <c r="K213" s="71">
        <f t="shared" ref="K213:N213" si="950">+J213</f>
        <v>-0.69444444444444442</v>
      </c>
      <c r="L213" s="71">
        <f t="shared" si="950"/>
        <v>-0.69444444444444442</v>
      </c>
      <c r="M213" s="71">
        <f t="shared" si="950"/>
        <v>-0.69444444444444442</v>
      </c>
      <c r="N213" s="71">
        <f t="shared" si="950"/>
        <v>-0.69444444444444442</v>
      </c>
    </row>
    <row r="214" spans="1:14" x14ac:dyDescent="0.3">
      <c r="A214" s="9" t="s">
        <v>141</v>
      </c>
      <c r="B214" s="68">
        <f>+Historicals!B152</f>
        <v>713</v>
      </c>
      <c r="C214" s="68">
        <f>+Historicals!C152</f>
        <v>937</v>
      </c>
      <c r="D214" s="68">
        <f>+Historicals!D152</f>
        <v>1238</v>
      </c>
      <c r="E214" s="68">
        <f>+Historicals!E152</f>
        <v>1450</v>
      </c>
      <c r="F214" s="68">
        <f>+Historicals!F152</f>
        <v>1673</v>
      </c>
      <c r="G214" s="68">
        <f>+Historicals!G152</f>
        <v>1916</v>
      </c>
      <c r="H214" s="68">
        <f>+Historicals!H152</f>
        <v>1870</v>
      </c>
      <c r="I214" s="68">
        <f>+Historicals!I152</f>
        <v>1817</v>
      </c>
      <c r="J214" s="72">
        <f>+J199*J216</f>
        <v>-681.375</v>
      </c>
      <c r="K214" s="72">
        <f>+K199*K216</f>
        <v>630.90277777777771</v>
      </c>
      <c r="L214" s="72">
        <f>+L199*L216</f>
        <v>757.08333333333337</v>
      </c>
      <c r="M214" s="72">
        <f>+M199*M216</f>
        <v>883.26388888888891</v>
      </c>
      <c r="N214" s="72">
        <f>+N199*N216</f>
        <v>1009.4444444444445</v>
      </c>
    </row>
    <row r="215" spans="1:14" x14ac:dyDescent="0.3">
      <c r="A215" s="45" t="s">
        <v>129</v>
      </c>
      <c r="B215" s="69" t="str">
        <f t="shared" ref="B215" si="951">+IFERROR(B214/A214-1,"nm")</f>
        <v>nm</v>
      </c>
      <c r="C215" s="69">
        <f t="shared" ref="C215" si="952">+IFERROR(C214/B214-1,"nm")</f>
        <v>0.31416549789621318</v>
      </c>
      <c r="D215" s="69">
        <f t="shared" ref="D215" si="953">+IFERROR(D214/C214-1,"nm")</f>
        <v>0.32123799359658478</v>
      </c>
      <c r="E215" s="69">
        <f t="shared" ref="E215" si="954">+IFERROR(E214/D214-1,"nm")</f>
        <v>0.17124394184168024</v>
      </c>
      <c r="F215" s="69">
        <f t="shared" ref="F215" si="955">+IFERROR(F214/E214-1,"nm")</f>
        <v>0.15379310344827579</v>
      </c>
      <c r="G215" s="69">
        <f t="shared" ref="G215" si="956">+IFERROR(G214/F214-1,"nm")</f>
        <v>0.14524805738194857</v>
      </c>
      <c r="H215" s="69">
        <f t="shared" ref="H215" si="957">+IFERROR(H214/G214-1,"nm")</f>
        <v>-2.4008350730688965E-2</v>
      </c>
      <c r="I215" s="69">
        <f t="shared" ref="I215" si="958">+IFERROR(I214/H214-1,"nm")</f>
        <v>-2.8342245989304793E-2</v>
      </c>
      <c r="J215" s="69">
        <f t="shared" ref="J215" si="959">+IFERROR(J214/I214-1,"nm")</f>
        <v>-1.375</v>
      </c>
      <c r="K215" s="69">
        <f t="shared" ref="K215" si="960">+IFERROR(K214/J214-1,"nm")</f>
        <v>-1.9259259259259258</v>
      </c>
      <c r="L215" s="69">
        <f t="shared" ref="L215" si="961">+IFERROR(L214/K214-1,"nm")</f>
        <v>0.20000000000000018</v>
      </c>
      <c r="M215" s="69">
        <f t="shared" ref="M215" si="962">+IFERROR(M214/L214-1,"nm")</f>
        <v>0.16666666666666674</v>
      </c>
      <c r="N215" s="69">
        <f t="shared" ref="N215" si="963">+IFERROR(N214/M214-1,"nm")</f>
        <v>0.14285714285714279</v>
      </c>
    </row>
    <row r="216" spans="1:14" x14ac:dyDescent="0.3">
      <c r="A216" s="45" t="s">
        <v>133</v>
      </c>
      <c r="B216" s="69">
        <f>+IFERROR(B214/B$199,"nm")</f>
        <v>-8.6951219512195124</v>
      </c>
      <c r="C216" s="69">
        <f t="shared" ref="C216:I216" si="964">+IFERROR(C214/C$199,"nm")</f>
        <v>-10.895348837209303</v>
      </c>
      <c r="D216" s="69">
        <f t="shared" si="964"/>
        <v>16.506666666666668</v>
      </c>
      <c r="E216" s="69">
        <f t="shared" si="964"/>
        <v>55.769230769230766</v>
      </c>
      <c r="F216" s="69">
        <f t="shared" si="964"/>
        <v>-239</v>
      </c>
      <c r="G216" s="69">
        <f t="shared" si="964"/>
        <v>-174.18181818181819</v>
      </c>
      <c r="H216" s="69">
        <f t="shared" si="964"/>
        <v>46.75</v>
      </c>
      <c r="I216" s="69">
        <f t="shared" si="964"/>
        <v>-25.236111111111111</v>
      </c>
      <c r="J216" s="71">
        <f>+I216</f>
        <v>-25.236111111111111</v>
      </c>
      <c r="K216" s="71">
        <f t="shared" ref="K216:N216" si="965">+J216</f>
        <v>-25.236111111111111</v>
      </c>
      <c r="L216" s="71">
        <f t="shared" si="965"/>
        <v>-25.236111111111111</v>
      </c>
      <c r="M216" s="71">
        <f t="shared" si="965"/>
        <v>-25.236111111111111</v>
      </c>
      <c r="N216" s="71">
        <f t="shared" si="965"/>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7"/>
  <sheetViews>
    <sheetView topLeftCell="A25" workbookViewId="0">
      <selection activeCell="O76" sqref="O76"/>
    </sheetView>
  </sheetViews>
  <sheetFormatPr defaultRowHeight="14.4" x14ac:dyDescent="0.3"/>
  <cols>
    <col min="1" max="1" width="66.21875" style="49" bestFit="1" customWidth="1"/>
    <col min="2" max="14" width="11.77734375" style="49" customWidth="1"/>
    <col min="15" max="15" width="52.5546875" style="49" customWidth="1"/>
    <col min="16" max="16384" width="8.88671875" style="49"/>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+J1+1</f>
        <v>2024</v>
      </c>
      <c r="L1" s="38">
        <f>+K1+1</f>
        <v>2025</v>
      </c>
      <c r="M1" s="38">
        <f>+L1+1</f>
        <v>2026</v>
      </c>
      <c r="N1" s="38">
        <f>+M1+1</f>
        <v>2027</v>
      </c>
      <c r="O1" s="65" t="s">
        <v>216</v>
      </c>
    </row>
    <row r="2" spans="1:15" x14ac:dyDescent="0.3">
      <c r="A2" s="39" t="s">
        <v>149</v>
      </c>
      <c r="B2" s="39"/>
      <c r="C2" s="39"/>
      <c r="D2" s="39"/>
      <c r="E2" s="39"/>
      <c r="F2" s="39"/>
      <c r="G2" s="39"/>
      <c r="H2" s="39"/>
      <c r="I2" s="39"/>
      <c r="J2" s="39"/>
      <c r="K2" s="39"/>
      <c r="L2" s="39"/>
      <c r="M2" s="39"/>
      <c r="N2" s="39"/>
    </row>
    <row r="3" spans="1:15" x14ac:dyDescent="0.3">
      <c r="A3" s="50"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49369.98245721517</v>
      </c>
      <c r="K3" s="9">
        <f>'Segmental forecast'!K3</f>
        <v>52335.466335383622</v>
      </c>
      <c r="L3" s="9">
        <f>'Segmental forecast'!L3</f>
        <v>55818.70616956133</v>
      </c>
      <c r="M3" s="9">
        <f>'Segmental forecast'!M3</f>
        <v>59824.202006413674</v>
      </c>
      <c r="N3" s="9">
        <f>'Segmental forecast'!N3</f>
        <v>64418.799527920499</v>
      </c>
    </row>
    <row r="4" spans="1:15" x14ac:dyDescent="0.3">
      <c r="A4" s="41" t="s">
        <v>129</v>
      </c>
      <c r="B4" s="52" t="str">
        <f>IFERROR(B3/A3-1,"nm")</f>
        <v>nm</v>
      </c>
      <c r="C4" s="52">
        <f t="shared" ref="C4:I4" si="1">IFERROR(C3/B3-1,"nm")</f>
        <v>5.8004640371229765E-2</v>
      </c>
      <c r="D4" s="52">
        <f t="shared" si="1"/>
        <v>6.0971089696071123E-2</v>
      </c>
      <c r="E4" s="52">
        <f t="shared" si="1"/>
        <v>5.95924308588065E-2</v>
      </c>
      <c r="F4" s="52">
        <f t="shared" si="1"/>
        <v>7.4731433909388079E-2</v>
      </c>
      <c r="G4" s="52">
        <f t="shared" si="1"/>
        <v>-4.3817266150267153E-2</v>
      </c>
      <c r="H4" s="52">
        <f t="shared" si="1"/>
        <v>0.19076009945726269</v>
      </c>
      <c r="I4" s="52">
        <f t="shared" si="1"/>
        <v>4.8767344739323759E-2</v>
      </c>
      <c r="J4" s="52">
        <f t="shared" ref="J4" si="2">IFERROR(J3/I3-1,"nm")</f>
        <v>5.6946744962859563E-2</v>
      </c>
      <c r="K4" s="52">
        <f t="shared" ref="K4" si="3">IFERROR(K3/J3-1,"nm")</f>
        <v>6.0066537004310083E-2</v>
      </c>
      <c r="L4" s="52">
        <f t="shared" ref="L4" si="4">IFERROR(L3/K3-1,"nm")</f>
        <v>6.6556010256140885E-2</v>
      </c>
      <c r="M4" s="52">
        <f t="shared" ref="M4" si="5">IFERROR(M3/L3-1,"nm")</f>
        <v>7.1759023304567293E-2</v>
      </c>
      <c r="N4" s="52">
        <f t="shared" ref="N4" si="6">IFERROR(N3/M3-1,"nm")</f>
        <v>7.6801651629456735E-2</v>
      </c>
    </row>
    <row r="5" spans="1:15" x14ac:dyDescent="0.3">
      <c r="A5" s="50" t="s">
        <v>150</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12790.987944713397</v>
      </c>
      <c r="K5" s="9">
        <f>'Segmental forecast'!K5</f>
        <v>12757.81288263557</v>
      </c>
      <c r="L5" s="9">
        <f>'Segmental forecast'!L5</f>
        <v>14072.135802231352</v>
      </c>
      <c r="M5" s="9">
        <f>'Segmental forecast'!M5</f>
        <v>15425.998732722224</v>
      </c>
      <c r="N5" s="9">
        <f>'Segmental forecast'!N5</f>
        <v>16867.47391710478</v>
      </c>
    </row>
    <row r="6" spans="1:15" x14ac:dyDescent="0.3">
      <c r="A6" s="53" t="s">
        <v>132</v>
      </c>
      <c r="B6" s="54">
        <f>'Segmental forecast'!B8</f>
        <v>606</v>
      </c>
      <c r="C6" s="54">
        <f>'Segmental forecast'!C8</f>
        <v>649</v>
      </c>
      <c r="D6" s="54">
        <f>'Segmental forecast'!D8</f>
        <v>706</v>
      </c>
      <c r="E6" s="54">
        <f>'Segmental forecast'!E8</f>
        <v>747</v>
      </c>
      <c r="F6" s="54">
        <f>'Segmental forecast'!F8</f>
        <v>705</v>
      </c>
      <c r="G6" s="54">
        <f>'Segmental forecast'!G8</f>
        <v>721</v>
      </c>
      <c r="H6" s="54">
        <f>'Segmental forecast'!H8</f>
        <v>744</v>
      </c>
      <c r="I6" s="54">
        <f>'Segmental forecast'!I8</f>
        <v>717</v>
      </c>
      <c r="J6" s="54">
        <f>'Segmental forecast'!J8</f>
        <v>461.74288201498041</v>
      </c>
      <c r="K6" s="54">
        <f>'Segmental forecast'!K8</f>
        <v>554.12502018109319</v>
      </c>
      <c r="L6" s="54">
        <f>'Segmental forecast'!L8</f>
        <v>570.60500210708722</v>
      </c>
      <c r="M6" s="54">
        <f>'Segmental forecast'!M8</f>
        <v>597.16729172426903</v>
      </c>
      <c r="N6" s="54">
        <f>'Segmental forecast'!N8</f>
        <v>632.93864741255481</v>
      </c>
    </row>
    <row r="7" spans="1:15" x14ac:dyDescent="0.3">
      <c r="A7" s="4" t="s">
        <v>134</v>
      </c>
      <c r="B7" s="5">
        <f>B5-B6</f>
        <v>4233</v>
      </c>
      <c r="C7" s="5">
        <f t="shared" ref="C7:N7" si="7">C5-C6</f>
        <v>4642</v>
      </c>
      <c r="D7" s="5">
        <f t="shared" si="7"/>
        <v>4945</v>
      </c>
      <c r="E7" s="5">
        <f t="shared" si="7"/>
        <v>4379</v>
      </c>
      <c r="F7" s="5">
        <f t="shared" si="7"/>
        <v>4850</v>
      </c>
      <c r="G7" s="5">
        <f t="shared" si="7"/>
        <v>2976</v>
      </c>
      <c r="H7" s="5">
        <f t="shared" si="7"/>
        <v>6923</v>
      </c>
      <c r="I7" s="5">
        <f t="shared" si="7"/>
        <v>6856</v>
      </c>
      <c r="J7" s="5">
        <f t="shared" si="7"/>
        <v>12329.245062698417</v>
      </c>
      <c r="K7" s="5">
        <f t="shared" si="7"/>
        <v>12203.687862454477</v>
      </c>
      <c r="L7" s="5">
        <f t="shared" si="7"/>
        <v>13501.530800124265</v>
      </c>
      <c r="M7" s="5">
        <f t="shared" si="7"/>
        <v>14828.831440997956</v>
      </c>
      <c r="N7" s="5">
        <f t="shared" si="7"/>
        <v>16234.535269692225</v>
      </c>
    </row>
    <row r="8" spans="1:15" x14ac:dyDescent="0.3">
      <c r="A8" s="41" t="s">
        <v>129</v>
      </c>
      <c r="B8" s="52" t="str">
        <f>IFERROR(B7/A7-1,"nm")</f>
        <v>nm</v>
      </c>
      <c r="C8" s="52">
        <f t="shared" ref="C8:I8" si="8">IFERROR(C7/B7-1,"nm")</f>
        <v>9.6621781242617555E-2</v>
      </c>
      <c r="D8" s="52">
        <f t="shared" si="8"/>
        <v>6.5273588970271357E-2</v>
      </c>
      <c r="E8" s="52">
        <f t="shared" si="8"/>
        <v>-0.11445904954499497</v>
      </c>
      <c r="F8" s="52">
        <f t="shared" si="8"/>
        <v>0.10755880337976698</v>
      </c>
      <c r="G8" s="52">
        <f t="shared" si="8"/>
        <v>-0.38639175257731961</v>
      </c>
      <c r="H8" s="52">
        <f t="shared" si="8"/>
        <v>1.32627688172043</v>
      </c>
      <c r="I8" s="52">
        <f t="shared" si="8"/>
        <v>-9.67788530983682E-3</v>
      </c>
      <c r="J8" s="52">
        <f t="shared" ref="J8" si="9">IFERROR(J7/I7-1,"nm")</f>
        <v>0.79831462408086606</v>
      </c>
      <c r="K8" s="52">
        <f t="shared" ref="K8" si="10">IFERROR(K7/J7-1,"nm")</f>
        <v>-1.0183689236886728E-2</v>
      </c>
      <c r="L8" s="52">
        <f t="shared" ref="L8" si="11">IFERROR(L7/K7-1,"nm")</f>
        <v>0.10634842125573329</v>
      </c>
      <c r="M8" s="52">
        <f t="shared" ref="M8" si="12">IFERROR(M7/L7-1,"nm")</f>
        <v>9.8307418656666368E-2</v>
      </c>
      <c r="N8" s="52">
        <f t="shared" ref="N8" si="13">IFERROR(N7/M7-1,"nm")</f>
        <v>9.479532047332162E-2</v>
      </c>
    </row>
    <row r="9" spans="1:15" x14ac:dyDescent="0.3">
      <c r="A9" s="41" t="s">
        <v>131</v>
      </c>
      <c r="B9" s="52">
        <f>IFERROR(B7/B3,"nm")</f>
        <v>0.13832881278389594</v>
      </c>
      <c r="C9" s="52">
        <f t="shared" ref="C9:N9" si="14">IFERROR(C7/C3,"nm")</f>
        <v>0.14337781072399308</v>
      </c>
      <c r="D9" s="52">
        <f t="shared" si="14"/>
        <v>0.14395924308588065</v>
      </c>
      <c r="E9" s="52">
        <f t="shared" si="14"/>
        <v>0.12031211363573921</v>
      </c>
      <c r="F9" s="52">
        <f t="shared" si="14"/>
        <v>0.12398701331901731</v>
      </c>
      <c r="G9" s="52">
        <f t="shared" si="14"/>
        <v>7.9565810229126011E-2</v>
      </c>
      <c r="H9" s="52">
        <f t="shared" si="14"/>
        <v>0.1554402981723472</v>
      </c>
      <c r="I9" s="52">
        <f t="shared" si="14"/>
        <v>0.14677799186469706</v>
      </c>
      <c r="J9" s="52">
        <f t="shared" si="14"/>
        <v>0.24973160712348119</v>
      </c>
      <c r="K9" s="52">
        <f t="shared" si="14"/>
        <v>0.23318198378608224</v>
      </c>
      <c r="L9" s="52">
        <f t="shared" si="14"/>
        <v>0.24188183006446728</v>
      </c>
      <c r="M9" s="52">
        <f t="shared" si="14"/>
        <v>0.24787345160756472</v>
      </c>
      <c r="N9" s="52">
        <f t="shared" si="14"/>
        <v>0.25201548909112825</v>
      </c>
    </row>
    <row r="10" spans="1:15" x14ac:dyDescent="0.3">
      <c r="A10" s="51"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282.59999999999997</v>
      </c>
      <c r="K10" s="3">
        <f t="shared" ref="K10:N10" si="15">K50</f>
        <v>282.59999999999997</v>
      </c>
      <c r="L10" s="3">
        <f t="shared" si="15"/>
        <v>282.59999999999997</v>
      </c>
      <c r="M10" s="3">
        <f t="shared" si="15"/>
        <v>282.59999999999997</v>
      </c>
      <c r="N10" s="3">
        <f t="shared" si="15"/>
        <v>282.59999999999997</v>
      </c>
    </row>
    <row r="11" spans="1:15" x14ac:dyDescent="0.3">
      <c r="A11" s="4" t="s">
        <v>151</v>
      </c>
      <c r="B11" s="5">
        <f>B7-B10</f>
        <v>4205</v>
      </c>
      <c r="C11" s="5">
        <f t="shared" ref="C11:N11" si="16">C7-C10</f>
        <v>4623</v>
      </c>
      <c r="D11" s="5">
        <f t="shared" si="16"/>
        <v>4886</v>
      </c>
      <c r="E11" s="5">
        <f t="shared" si="16"/>
        <v>4325</v>
      </c>
      <c r="F11" s="5">
        <f t="shared" si="16"/>
        <v>4801</v>
      </c>
      <c r="G11" s="5">
        <f t="shared" si="16"/>
        <v>2887</v>
      </c>
      <c r="H11" s="5">
        <f t="shared" si="16"/>
        <v>6661</v>
      </c>
      <c r="I11" s="5">
        <f t="shared" si="16"/>
        <v>6651</v>
      </c>
      <c r="J11" s="5">
        <f t="shared" si="16"/>
        <v>12046.645062698417</v>
      </c>
      <c r="K11" s="5">
        <f t="shared" si="16"/>
        <v>11921.087862454477</v>
      </c>
      <c r="L11" s="5">
        <f t="shared" si="16"/>
        <v>13218.930800124264</v>
      </c>
      <c r="M11" s="5">
        <f t="shared" si="16"/>
        <v>14546.231440997955</v>
      </c>
      <c r="N11" s="5">
        <f t="shared" si="16"/>
        <v>15951.935269692225</v>
      </c>
    </row>
    <row r="12" spans="1:15" x14ac:dyDescent="0.3">
      <c r="A12" s="49"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1987.6964353452388</v>
      </c>
      <c r="K12" s="3">
        <f t="shared" ref="K12:N12" si="17">K11*K13</f>
        <v>1966.9794973049886</v>
      </c>
      <c r="L12" s="3">
        <f t="shared" si="17"/>
        <v>2181.1235820205038</v>
      </c>
      <c r="M12" s="3">
        <f t="shared" si="17"/>
        <v>2400.1281877646629</v>
      </c>
      <c r="N12" s="3">
        <f t="shared" si="17"/>
        <v>2632.0693194992173</v>
      </c>
      <c r="O12" s="49" t="s">
        <v>288</v>
      </c>
    </row>
    <row r="13" spans="1:15" x14ac:dyDescent="0.3">
      <c r="A13" s="55" t="s">
        <v>152</v>
      </c>
      <c r="B13" s="56">
        <f>IFERROR(B12/B11,"nm")</f>
        <v>0.22164090368608799</v>
      </c>
      <c r="C13" s="56">
        <f t="shared" ref="C13:I13" si="18">IFERROR(C12/C11,"nm")</f>
        <v>0.18667531905688947</v>
      </c>
      <c r="D13" s="56">
        <f t="shared" si="18"/>
        <v>0.13221449038067951</v>
      </c>
      <c r="E13" s="56">
        <f t="shared" si="18"/>
        <v>0.55306358381502885</v>
      </c>
      <c r="F13" s="56">
        <f t="shared" si="18"/>
        <v>0.16079983336804832</v>
      </c>
      <c r="G13" s="56">
        <f t="shared" si="18"/>
        <v>0.12054035330793211</v>
      </c>
      <c r="H13" s="56">
        <f t="shared" si="18"/>
        <v>0.14021918630836211</v>
      </c>
      <c r="I13" s="56">
        <f t="shared" si="18"/>
        <v>9.0963764847391368E-2</v>
      </c>
      <c r="J13" s="57">
        <v>0.16500000000000001</v>
      </c>
      <c r="K13" s="57">
        <f>J13</f>
        <v>0.16500000000000001</v>
      </c>
      <c r="L13" s="57">
        <f t="shared" ref="L13:N13" si="19">K13</f>
        <v>0.16500000000000001</v>
      </c>
      <c r="M13" s="57">
        <f t="shared" si="19"/>
        <v>0.16500000000000001</v>
      </c>
      <c r="N13" s="57">
        <f t="shared" si="19"/>
        <v>0.16500000000000001</v>
      </c>
      <c r="O13" s="49" t="s">
        <v>278</v>
      </c>
    </row>
    <row r="14" spans="1:15" ht="15" thickBot="1" x14ac:dyDescent="0.35">
      <c r="A14" s="6" t="s">
        <v>153</v>
      </c>
      <c r="B14" s="7">
        <f>B11-B12</f>
        <v>3273</v>
      </c>
      <c r="C14" s="7">
        <f t="shared" ref="C14:N14" si="20">C11-C12</f>
        <v>3760</v>
      </c>
      <c r="D14" s="7">
        <f t="shared" si="20"/>
        <v>4240</v>
      </c>
      <c r="E14" s="7">
        <f t="shared" si="20"/>
        <v>1933</v>
      </c>
      <c r="F14" s="7">
        <f t="shared" si="20"/>
        <v>4029</v>
      </c>
      <c r="G14" s="7">
        <f t="shared" si="20"/>
        <v>2539</v>
      </c>
      <c r="H14" s="7">
        <f t="shared" si="20"/>
        <v>5727</v>
      </c>
      <c r="I14" s="7">
        <f t="shared" si="20"/>
        <v>6046</v>
      </c>
      <c r="J14" s="7">
        <f t="shared" si="20"/>
        <v>10058.948627353178</v>
      </c>
      <c r="K14" s="7">
        <f t="shared" si="20"/>
        <v>9954.1083651494882</v>
      </c>
      <c r="L14" s="7">
        <f t="shared" si="20"/>
        <v>11037.807218103761</v>
      </c>
      <c r="M14" s="7">
        <f t="shared" si="20"/>
        <v>12146.103253233292</v>
      </c>
      <c r="N14" s="7">
        <f t="shared" si="20"/>
        <v>13319.865950193009</v>
      </c>
    </row>
    <row r="15" spans="1:15" ht="15" thickTop="1" x14ac:dyDescent="0.3">
      <c r="A15" s="49" t="s">
        <v>154</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M15" si="21">J15</f>
        <v>1610.8</v>
      </c>
      <c r="L15" s="3">
        <f t="shared" si="21"/>
        <v>1610.8</v>
      </c>
      <c r="M15" s="3">
        <f t="shared" si="21"/>
        <v>1610.8</v>
      </c>
      <c r="N15" s="3">
        <f>M15</f>
        <v>1610.8</v>
      </c>
    </row>
    <row r="16" spans="1:15" x14ac:dyDescent="0.3">
      <c r="A16" s="49" t="s">
        <v>155</v>
      </c>
      <c r="B16" s="58">
        <f>IFERROR(B14/B15,"nm")</f>
        <v>1.8504070556309362</v>
      </c>
      <c r="C16" s="58">
        <f t="shared" ref="C16:N16" si="22">IFERROR(C14/C15,"nm")</f>
        <v>2.1578192252510759</v>
      </c>
      <c r="D16" s="58">
        <f t="shared" si="22"/>
        <v>2.5059101654846336</v>
      </c>
      <c r="E16" s="58">
        <f t="shared" si="22"/>
        <v>1.1650895063588693</v>
      </c>
      <c r="F16" s="58">
        <f t="shared" si="22"/>
        <v>2.4894957983193278</v>
      </c>
      <c r="G16" s="58">
        <f t="shared" si="22"/>
        <v>1.5952500628298569</v>
      </c>
      <c r="H16" s="58">
        <f t="shared" si="22"/>
        <v>3.5584689946563937</v>
      </c>
      <c r="I16" s="58">
        <f t="shared" si="22"/>
        <v>3.7534144524459898</v>
      </c>
      <c r="J16" s="58">
        <f t="shared" si="22"/>
        <v>6.2446912263180892</v>
      </c>
      <c r="K16" s="58">
        <f t="shared" si="22"/>
        <v>6.1796053918236211</v>
      </c>
      <c r="L16" s="58">
        <f t="shared" si="22"/>
        <v>6.8523759734937677</v>
      </c>
      <c r="M16" s="58">
        <f t="shared" si="22"/>
        <v>7.5404167204080537</v>
      </c>
      <c r="N16" s="58">
        <f t="shared" si="22"/>
        <v>8.269099795252675</v>
      </c>
    </row>
    <row r="17" spans="1:15" x14ac:dyDescent="0.3">
      <c r="A17" s="49" t="s">
        <v>156</v>
      </c>
      <c r="B17" s="58">
        <f>-Historicals!B90/B15</f>
        <v>0.508254183627318</v>
      </c>
      <c r="C17" s="58">
        <f>-Historicals!C90/C15</f>
        <v>0.58651362984218081</v>
      </c>
      <c r="D17" s="58">
        <f>-Historicals!D90/D15</f>
        <v>0.66962174940898345</v>
      </c>
      <c r="E17" s="58">
        <f>-Historicals!E90/E15</f>
        <v>0.74920137423904531</v>
      </c>
      <c r="F17" s="58">
        <f>-Historicals!F90/F15</f>
        <v>0.82303509639149774</v>
      </c>
      <c r="G17" s="58">
        <f>-Historicals!G90/G15</f>
        <v>0.91228951997989449</v>
      </c>
      <c r="H17" s="58">
        <f>-Historicals!H90/H15</f>
        <v>1.0177705977382876</v>
      </c>
      <c r="I17" s="58">
        <f>-Historicals!I90/I15</f>
        <v>1.1404271169605165</v>
      </c>
      <c r="J17" s="58">
        <f>J14*J19/J15</f>
        <v>2.2480888414745124</v>
      </c>
      <c r="K17" s="58">
        <f t="shared" ref="K17:N17" si="23">K14*K19/K15</f>
        <v>2.2246579410565035</v>
      </c>
      <c r="L17" s="58">
        <f t="shared" si="23"/>
        <v>2.4668553504577564</v>
      </c>
      <c r="M17" s="58">
        <f t="shared" si="23"/>
        <v>2.7145500193468992</v>
      </c>
      <c r="N17" s="58">
        <f t="shared" si="23"/>
        <v>2.9768759262909628</v>
      </c>
      <c r="O17" s="49" t="s">
        <v>285</v>
      </c>
    </row>
    <row r="18" spans="1:15" x14ac:dyDescent="0.3">
      <c r="A18" s="55" t="s">
        <v>129</v>
      </c>
      <c r="B18" s="56" t="str">
        <f>IFERROR(B17/A17-1,"nm")</f>
        <v>nm</v>
      </c>
      <c r="C18" s="56">
        <f t="shared" ref="C18:I18" si="24">IFERROR(C17/B17-1,"nm")</f>
        <v>0.15397698383186809</v>
      </c>
      <c r="D18" s="56">
        <f t="shared" si="24"/>
        <v>0.14169853067040461</v>
      </c>
      <c r="E18" s="56">
        <f t="shared" si="24"/>
        <v>0.11884265243818604</v>
      </c>
      <c r="F18" s="56">
        <f t="shared" si="24"/>
        <v>9.8549902190775418E-2</v>
      </c>
      <c r="G18" s="56">
        <f t="shared" si="24"/>
        <v>0.10844546481641237</v>
      </c>
      <c r="H18" s="56">
        <f t="shared" si="24"/>
        <v>0.11562237146023313</v>
      </c>
      <c r="I18" s="56">
        <f t="shared" si="24"/>
        <v>0.12051489745803123</v>
      </c>
      <c r="J18" s="93">
        <f t="shared" ref="J18" si="25">IFERROR(J17/I17-1,"nm")</f>
        <v>0.97126919207792306</v>
      </c>
      <c r="K18" s="93">
        <f t="shared" ref="K18" si="26">IFERROR(K17/J17-1,"nm")</f>
        <v>-1.042258650358352E-2</v>
      </c>
      <c r="L18" s="93">
        <f t="shared" ref="L18" si="27">IFERROR(L17/K17-1,"nm")</f>
        <v>0.10886950525357264</v>
      </c>
      <c r="M18" s="93">
        <f t="shared" ref="M18" si="28">IFERROR(M17/L17-1,"nm")</f>
        <v>0.10040907702317448</v>
      </c>
      <c r="N18" s="93">
        <f t="shared" ref="N18" si="29">IFERROR(N17/M17-1,"nm")</f>
        <v>9.6636976690220422E-2</v>
      </c>
    </row>
    <row r="19" spans="1:15" x14ac:dyDescent="0.3">
      <c r="A19" s="55" t="s">
        <v>157</v>
      </c>
      <c r="B19" s="56">
        <f>IFERROR((B17*B15)/B14,"nm")</f>
        <v>0.27467155514818214</v>
      </c>
      <c r="C19" s="56">
        <f t="shared" ref="C19:I19" si="30">IFERROR((C17*C15)/C14,"nm")</f>
        <v>0.27180851063829786</v>
      </c>
      <c r="D19" s="56">
        <f t="shared" si="30"/>
        <v>0.26721698113207548</v>
      </c>
      <c r="E19" s="56">
        <f t="shared" si="30"/>
        <v>0.64304190377651316</v>
      </c>
      <c r="F19" s="56">
        <f t="shared" si="30"/>
        <v>0.33060312732688013</v>
      </c>
      <c r="G19" s="56">
        <f t="shared" si="30"/>
        <v>0.57187869239858213</v>
      </c>
      <c r="H19" s="56">
        <f t="shared" si="30"/>
        <v>0.28601361969617606</v>
      </c>
      <c r="I19" s="56">
        <f t="shared" si="30"/>
        <v>0.30383724776711873</v>
      </c>
      <c r="J19" s="56">
        <v>0.36</v>
      </c>
      <c r="K19" s="56">
        <f>J19</f>
        <v>0.36</v>
      </c>
      <c r="L19" s="56">
        <f t="shared" ref="L19:N19" si="31">K19</f>
        <v>0.36</v>
      </c>
      <c r="M19" s="56">
        <f t="shared" si="31"/>
        <v>0.36</v>
      </c>
      <c r="N19" s="56">
        <f t="shared" si="31"/>
        <v>0.36</v>
      </c>
      <c r="O19" s="49" t="s">
        <v>284</v>
      </c>
    </row>
    <row r="20" spans="1:15" x14ac:dyDescent="0.3">
      <c r="A20" s="59" t="s">
        <v>158</v>
      </c>
      <c r="B20" s="39"/>
      <c r="C20" s="39"/>
      <c r="D20" s="39"/>
      <c r="E20" s="39"/>
      <c r="F20" s="39"/>
      <c r="G20" s="39"/>
      <c r="H20" s="39"/>
      <c r="I20" s="39"/>
      <c r="J20" s="39"/>
      <c r="K20" s="39"/>
      <c r="L20" s="39"/>
      <c r="M20" s="39"/>
      <c r="N20" s="39"/>
    </row>
    <row r="21" spans="1:15" x14ac:dyDescent="0.3">
      <c r="A21" s="49" t="s">
        <v>159</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12370.206474258353</v>
      </c>
      <c r="K21" s="3">
        <f t="shared" ref="K21:N21" si="32">K68</f>
        <v>15086.10292130273</v>
      </c>
      <c r="L21" s="3">
        <f t="shared" si="32"/>
        <v>18593.437419863119</v>
      </c>
      <c r="M21" s="3">
        <f t="shared" si="32"/>
        <v>22907.587551139528</v>
      </c>
      <c r="N21" s="3">
        <f t="shared" si="32"/>
        <v>28082.007900203564</v>
      </c>
    </row>
    <row r="22" spans="1:15" x14ac:dyDescent="0.3">
      <c r="A22" s="49" t="s">
        <v>160</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33">J22</f>
        <v>4423</v>
      </c>
      <c r="L22" s="3">
        <f t="shared" si="33"/>
        <v>4423</v>
      </c>
      <c r="M22" s="3">
        <f t="shared" si="33"/>
        <v>4423</v>
      </c>
      <c r="N22" s="3">
        <f t="shared" si="33"/>
        <v>4423</v>
      </c>
      <c r="O22" s="49" t="s">
        <v>291</v>
      </c>
    </row>
    <row r="23" spans="1:15" x14ac:dyDescent="0.3">
      <c r="A23" s="49" t="s">
        <v>161</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J24*J3</f>
        <v>9429.6666493280973</v>
      </c>
      <c r="K23" s="3">
        <f t="shared" ref="K23:N23" si="34">K24*K3</f>
        <v>9996.0740700582719</v>
      </c>
      <c r="L23" s="3">
        <f t="shared" si="34"/>
        <v>10661.372878386213</v>
      </c>
      <c r="M23" s="3">
        <f t="shared" si="34"/>
        <v>11426.422583225012</v>
      </c>
      <c r="N23" s="3">
        <f t="shared" si="34"/>
        <v>12303.990709832815</v>
      </c>
      <c r="O23" s="49" t="s">
        <v>275</v>
      </c>
    </row>
    <row r="24" spans="1:15" x14ac:dyDescent="0.3">
      <c r="A24" s="55" t="s">
        <v>162</v>
      </c>
      <c r="B24" s="56">
        <f>IFERROR(B23/B3,"nm")</f>
        <v>0.18182412339466031</v>
      </c>
      <c r="C24" s="56">
        <f t="shared" ref="C24:I24" si="35">IFERROR(C23/C3,"nm")</f>
        <v>0.1818631084754139</v>
      </c>
      <c r="D24" s="56">
        <f t="shared" si="35"/>
        <v>0.19458515283842795</v>
      </c>
      <c r="E24" s="56">
        <f t="shared" si="35"/>
        <v>0.17803665137236585</v>
      </c>
      <c r="F24" s="56">
        <f t="shared" si="35"/>
        <v>0.18615947030702765</v>
      </c>
      <c r="G24" s="56">
        <f t="shared" si="35"/>
        <v>0.21035745795791783</v>
      </c>
      <c r="H24" s="56">
        <f t="shared" si="35"/>
        <v>0.19042166240064665</v>
      </c>
      <c r="I24" s="56">
        <f t="shared" si="35"/>
        <v>0.20828516377649325</v>
      </c>
      <c r="J24" s="57">
        <v>0.191</v>
      </c>
      <c r="K24" s="57">
        <v>0.191</v>
      </c>
      <c r="L24" s="57">
        <v>0.191</v>
      </c>
      <c r="M24" s="57">
        <v>0.191</v>
      </c>
      <c r="N24" s="57">
        <v>0.191</v>
      </c>
      <c r="O24" s="49" t="s">
        <v>274</v>
      </c>
    </row>
    <row r="25" spans="1:15" x14ac:dyDescent="0.3">
      <c r="A25" s="49" t="s">
        <v>163</v>
      </c>
      <c r="B25" s="3">
        <f>Historicals!B27+Historicals!B28+Historicals!B29</f>
        <v>9663</v>
      </c>
      <c r="C25" s="3">
        <f>Historicals!C27+Historicals!C28+Historicals!C29</f>
        <v>9568</v>
      </c>
      <c r="D25" s="3">
        <f>Historicals!D27+Historicals!D28+Historicals!D29</f>
        <v>9882</v>
      </c>
      <c r="E25" s="3">
        <f>Historicals!E27+Historicals!E28+Historicals!E29</f>
        <v>9889</v>
      </c>
      <c r="F25" s="3">
        <f>Historicals!F27+Historicals!F28+Historicals!F29</f>
        <v>11862</v>
      </c>
      <c r="G25" s="3">
        <f>Historicals!G27+Historicals!G28+Historicals!G29</f>
        <v>11769</v>
      </c>
      <c r="H25" s="3">
        <f>Historicals!H27+Historicals!H28+Historicals!H29</f>
        <v>12815</v>
      </c>
      <c r="I25" s="3">
        <f>Historicals!I27+Historicals!I28+Historicals!I29</f>
        <v>15216</v>
      </c>
      <c r="J25" s="3">
        <f>I25</f>
        <v>15216</v>
      </c>
      <c r="K25" s="3">
        <f t="shared" ref="K25:N25" si="36">J25</f>
        <v>15216</v>
      </c>
      <c r="L25" s="3">
        <f t="shared" si="36"/>
        <v>15216</v>
      </c>
      <c r="M25" s="3">
        <f t="shared" si="36"/>
        <v>15216</v>
      </c>
      <c r="N25" s="3">
        <f t="shared" si="36"/>
        <v>15216</v>
      </c>
      <c r="O25" s="89" t="s">
        <v>291</v>
      </c>
    </row>
    <row r="26" spans="1:15" x14ac:dyDescent="0.3">
      <c r="A26" s="49" t="s">
        <v>164</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I26+'Three Statements'!J52-'Three Statements'!J47</f>
        <v>4951.3872965757782</v>
      </c>
      <c r="K26" s="3">
        <f>J26+'Three Statements'!K52-'Three Statements'!K47</f>
        <v>5056.7276239572493</v>
      </c>
      <c r="L26" s="3">
        <f>K26+'Three Statements'!L52-'Three Statements'!L47</f>
        <v>5163.0885533112069</v>
      </c>
      <c r="M26" s="3">
        <f>L26+'Three Statements'!M52-'Three Statements'!M47</f>
        <v>5271.6942089429049</v>
      </c>
      <c r="N26" s="3">
        <f>M26+'Three Statements'!N52-'Three Statements'!N47</f>
        <v>5383.7561946102005</v>
      </c>
      <c r="O26" s="74" t="s">
        <v>290</v>
      </c>
    </row>
    <row r="27" spans="1:15" x14ac:dyDescent="0.3">
      <c r="A27" s="49" t="s">
        <v>165</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I27</f>
        <v>286</v>
      </c>
      <c r="K27" s="3">
        <f t="shared" ref="K27:N27" si="37">J27</f>
        <v>286</v>
      </c>
      <c r="L27" s="3">
        <f t="shared" si="37"/>
        <v>286</v>
      </c>
      <c r="M27" s="3">
        <f t="shared" si="37"/>
        <v>286</v>
      </c>
      <c r="N27" s="3">
        <f t="shared" si="37"/>
        <v>286</v>
      </c>
      <c r="O27" s="89" t="s">
        <v>291</v>
      </c>
    </row>
    <row r="28" spans="1:15" x14ac:dyDescent="0.3">
      <c r="A28" s="49"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I28</f>
        <v>284</v>
      </c>
      <c r="K28" s="3">
        <f t="shared" ref="K28:N28" si="38">J28</f>
        <v>284</v>
      </c>
      <c r="L28" s="3">
        <f t="shared" si="38"/>
        <v>284</v>
      </c>
      <c r="M28" s="3">
        <f t="shared" si="38"/>
        <v>284</v>
      </c>
      <c r="N28" s="3">
        <f t="shared" si="38"/>
        <v>284</v>
      </c>
      <c r="O28" s="89" t="s">
        <v>291</v>
      </c>
    </row>
    <row r="29" spans="1:15" x14ac:dyDescent="0.3">
      <c r="A29" s="60"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I29</f>
        <v>2926</v>
      </c>
      <c r="K29" s="3">
        <f t="shared" ref="K29:N30" si="39">J29</f>
        <v>2926</v>
      </c>
      <c r="L29" s="3">
        <f t="shared" si="39"/>
        <v>2926</v>
      </c>
      <c r="M29" s="3">
        <f t="shared" si="39"/>
        <v>2926</v>
      </c>
      <c r="N29" s="3">
        <f t="shared" si="39"/>
        <v>2926</v>
      </c>
      <c r="O29" s="89" t="s">
        <v>291</v>
      </c>
    </row>
    <row r="30" spans="1:15" x14ac:dyDescent="0.3">
      <c r="A30" s="49" t="s">
        <v>166</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I30</f>
        <v>3821</v>
      </c>
      <c r="K30" s="3">
        <f t="shared" si="39"/>
        <v>3821</v>
      </c>
      <c r="L30" s="3">
        <f t="shared" si="39"/>
        <v>3821</v>
      </c>
      <c r="M30" s="3">
        <f t="shared" si="39"/>
        <v>3821</v>
      </c>
      <c r="N30" s="3">
        <f t="shared" si="39"/>
        <v>3821</v>
      </c>
      <c r="O30" s="89" t="s">
        <v>291</v>
      </c>
    </row>
    <row r="31" spans="1:15" ht="15" thickBot="1" x14ac:dyDescent="0.35">
      <c r="A31" s="6" t="s">
        <v>167</v>
      </c>
      <c r="B31" s="7">
        <f>SUM(B25:B30)+B21+B22</f>
        <v>21597</v>
      </c>
      <c r="C31" s="7">
        <f t="shared" ref="C31:I31" si="40">SUM(C25:C30)+C21+C22</f>
        <v>21396</v>
      </c>
      <c r="D31" s="7">
        <f t="shared" si="40"/>
        <v>23259</v>
      </c>
      <c r="E31" s="7">
        <f t="shared" si="40"/>
        <v>22536</v>
      </c>
      <c r="F31" s="7">
        <f t="shared" si="40"/>
        <v>23717</v>
      </c>
      <c r="G31" s="7">
        <f t="shared" si="40"/>
        <v>31342</v>
      </c>
      <c r="H31" s="7">
        <f t="shared" si="40"/>
        <v>37740</v>
      </c>
      <c r="I31" s="7">
        <f t="shared" si="40"/>
        <v>40321</v>
      </c>
      <c r="J31" s="7">
        <f t="shared" ref="J31" si="41">SUM(J25:J30)+J21+J22</f>
        <v>44277.59377083413</v>
      </c>
      <c r="K31" s="7">
        <f t="shared" ref="K31" si="42">SUM(K25:K30)+K21+K22</f>
        <v>47098.830545259982</v>
      </c>
      <c r="L31" s="7">
        <f t="shared" ref="L31" si="43">SUM(L25:L30)+L21+L22</f>
        <v>50712.525973174328</v>
      </c>
      <c r="M31" s="7">
        <f t="shared" ref="M31" si="44">SUM(M25:M30)+M21+M22</f>
        <v>55135.281760082435</v>
      </c>
      <c r="N31" s="7">
        <f t="shared" ref="N31" si="45">SUM(N25:N30)+N21+N22</f>
        <v>60421.764094813763</v>
      </c>
    </row>
    <row r="32" spans="1:15" ht="15" thickTop="1" x14ac:dyDescent="0.3">
      <c r="A32" s="49" t="s">
        <v>168</v>
      </c>
      <c r="B32" s="3"/>
      <c r="C32" s="3"/>
      <c r="D32" s="3"/>
      <c r="E32" s="3"/>
      <c r="F32" s="3"/>
      <c r="G32" s="3"/>
      <c r="H32" s="3"/>
      <c r="I32" s="3"/>
      <c r="J32" s="3"/>
      <c r="K32" s="3"/>
      <c r="L32" s="3"/>
      <c r="M32" s="3"/>
      <c r="N32" s="3"/>
    </row>
    <row r="33" spans="1:15" x14ac:dyDescent="0.3">
      <c r="A33" s="51"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I33</f>
        <v>500</v>
      </c>
      <c r="K33" s="3">
        <f t="shared" ref="K33:N33" si="46">J33</f>
        <v>500</v>
      </c>
      <c r="L33" s="3">
        <f t="shared" si="46"/>
        <v>500</v>
      </c>
      <c r="M33" s="3">
        <f t="shared" si="46"/>
        <v>500</v>
      </c>
      <c r="N33" s="3">
        <f t="shared" si="46"/>
        <v>500</v>
      </c>
      <c r="O33" s="89" t="s">
        <v>291</v>
      </c>
    </row>
    <row r="34" spans="1:15" x14ac:dyDescent="0.3">
      <c r="A34" s="51"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47">J34</f>
        <v>10</v>
      </c>
      <c r="L34" s="3">
        <f t="shared" si="47"/>
        <v>10</v>
      </c>
      <c r="M34" s="3">
        <f t="shared" si="47"/>
        <v>10</v>
      </c>
      <c r="N34" s="3">
        <f t="shared" si="47"/>
        <v>10</v>
      </c>
      <c r="O34" s="89" t="s">
        <v>291</v>
      </c>
    </row>
    <row r="35" spans="1:15" x14ac:dyDescent="0.3">
      <c r="A35" s="49" t="s">
        <v>169</v>
      </c>
      <c r="B35" s="3">
        <f>SUM(Historicals!B41:B44)</f>
        <v>6151</v>
      </c>
      <c r="C35" s="3">
        <f>SUM(Historicals!C41:C44)</f>
        <v>5313</v>
      </c>
      <c r="D35" s="3">
        <f>SUM(Historicals!D41:D44)</f>
        <v>5143</v>
      </c>
      <c r="E35" s="3">
        <f>SUM(Historicals!E41:E44)</f>
        <v>5698</v>
      </c>
      <c r="F35" s="3">
        <f>SUM(Historicals!F41:F44)</f>
        <v>7851</v>
      </c>
      <c r="G35" s="3">
        <f>SUM(Historicals!G41:G44)</f>
        <v>8033</v>
      </c>
      <c r="H35" s="3">
        <f>SUM(Historicals!H41:H44)</f>
        <v>9672</v>
      </c>
      <c r="I35" s="3">
        <f>SUM(Historicals!I41:I44)</f>
        <v>10220</v>
      </c>
      <c r="J35" s="3">
        <f>I35</f>
        <v>10220</v>
      </c>
      <c r="K35" s="3">
        <f t="shared" ref="K35:N35" si="48">J35</f>
        <v>10220</v>
      </c>
      <c r="L35" s="3">
        <f t="shared" si="48"/>
        <v>10220</v>
      </c>
      <c r="M35" s="3">
        <f t="shared" si="48"/>
        <v>10220</v>
      </c>
      <c r="N35" s="3">
        <f t="shared" si="48"/>
        <v>10220</v>
      </c>
      <c r="O35" s="89" t="s">
        <v>291</v>
      </c>
    </row>
    <row r="36" spans="1:15" x14ac:dyDescent="0.3">
      <c r="A36" s="49"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I36</f>
        <v>8920</v>
      </c>
      <c r="K36" s="3">
        <f t="shared" ref="K36:N38" si="49">J36</f>
        <v>8920</v>
      </c>
      <c r="L36" s="3">
        <f t="shared" si="49"/>
        <v>8920</v>
      </c>
      <c r="M36" s="3">
        <f t="shared" si="49"/>
        <v>8920</v>
      </c>
      <c r="N36" s="3">
        <f t="shared" si="49"/>
        <v>8920</v>
      </c>
      <c r="O36" s="89" t="s">
        <v>291</v>
      </c>
    </row>
    <row r="37" spans="1:15" x14ac:dyDescent="0.3">
      <c r="A37" s="60"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f>
        <v>2777</v>
      </c>
      <c r="K37" s="3">
        <f t="shared" si="49"/>
        <v>2777</v>
      </c>
      <c r="L37" s="3">
        <f t="shared" si="49"/>
        <v>2777</v>
      </c>
      <c r="M37" s="3">
        <f t="shared" si="49"/>
        <v>2777</v>
      </c>
      <c r="N37" s="3">
        <f t="shared" si="49"/>
        <v>2777</v>
      </c>
      <c r="O37" s="89" t="s">
        <v>291</v>
      </c>
    </row>
    <row r="38" spans="1:15" x14ac:dyDescent="0.3">
      <c r="A38" s="49" t="s">
        <v>170</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I38</f>
        <v>2613</v>
      </c>
      <c r="K38" s="3">
        <f t="shared" si="49"/>
        <v>2613</v>
      </c>
      <c r="L38" s="3">
        <f t="shared" si="49"/>
        <v>2613</v>
      </c>
      <c r="M38" s="3">
        <f t="shared" si="49"/>
        <v>2613</v>
      </c>
      <c r="N38" s="3">
        <f t="shared" si="49"/>
        <v>2613</v>
      </c>
      <c r="O38" s="89" t="s">
        <v>291</v>
      </c>
    </row>
    <row r="39" spans="1:15" x14ac:dyDescent="0.3">
      <c r="A39" s="49" t="s">
        <v>171</v>
      </c>
      <c r="B39" s="3"/>
      <c r="C39" s="3"/>
      <c r="D39" s="3"/>
      <c r="E39" s="3"/>
      <c r="F39" s="3"/>
      <c r="G39" s="3"/>
      <c r="H39" s="3"/>
      <c r="I39" s="3"/>
      <c r="J39" s="3"/>
      <c r="K39" s="3"/>
      <c r="L39" s="3"/>
      <c r="M39" s="3"/>
      <c r="N39" s="3"/>
    </row>
    <row r="40" spans="1:15" x14ac:dyDescent="0.3">
      <c r="A40" s="51" t="s">
        <v>172</v>
      </c>
      <c r="B40" s="3">
        <f>Historicals!B54</f>
        <v>3</v>
      </c>
      <c r="C40" s="3">
        <f>Historicals!C54</f>
        <v>3</v>
      </c>
      <c r="D40" s="3">
        <f>Historicals!D54</f>
        <v>3</v>
      </c>
      <c r="E40" s="3">
        <f>Historicals!E54</f>
        <v>3</v>
      </c>
      <c r="F40" s="3">
        <f>Historicals!F54</f>
        <v>3</v>
      </c>
      <c r="G40" s="3">
        <f>Historicals!G54</f>
        <v>3</v>
      </c>
      <c r="H40" s="3">
        <f>Historicals!H54</f>
        <v>3</v>
      </c>
      <c r="I40" s="3">
        <f>Historicals!I54</f>
        <v>3</v>
      </c>
      <c r="J40" s="3">
        <f>I40</f>
        <v>3</v>
      </c>
      <c r="K40" s="3">
        <f t="shared" ref="K40:N40" si="50">J40</f>
        <v>3</v>
      </c>
      <c r="L40" s="3">
        <f t="shared" si="50"/>
        <v>3</v>
      </c>
      <c r="M40" s="3">
        <f t="shared" si="50"/>
        <v>3</v>
      </c>
      <c r="N40" s="3">
        <f t="shared" si="50"/>
        <v>3</v>
      </c>
      <c r="O40" s="89" t="s">
        <v>291</v>
      </c>
    </row>
    <row r="41" spans="1:15" x14ac:dyDescent="0.3">
      <c r="A41" s="51" t="s">
        <v>173</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f>J14-(J17*J15)</f>
        <v>6437.7271215060337</v>
      </c>
      <c r="K41" s="3">
        <f t="shared" ref="K41:N41" si="51">K14-(K17*K15)</f>
        <v>6370.6293536956728</v>
      </c>
      <c r="L41" s="3">
        <f t="shared" si="51"/>
        <v>7064.1966195864061</v>
      </c>
      <c r="M41" s="3">
        <f t="shared" si="51"/>
        <v>7773.506082069307</v>
      </c>
      <c r="N41" s="3">
        <f t="shared" si="51"/>
        <v>8524.7142081235252</v>
      </c>
      <c r="O41" s="49" t="s">
        <v>289</v>
      </c>
    </row>
    <row r="42" spans="1:15" x14ac:dyDescent="0.3">
      <c r="A42" s="51" t="s">
        <v>174</v>
      </c>
      <c r="B42" s="3">
        <f>Historicals!B56+Historicals!B55</f>
        <v>8019</v>
      </c>
      <c r="C42" s="3">
        <f>Historicals!C56+Historicals!C55</f>
        <v>8104</v>
      </c>
      <c r="D42" s="3">
        <f>Historicals!D56+Historicals!D55</f>
        <v>5497</v>
      </c>
      <c r="E42" s="3">
        <f>Historicals!E56+Historicals!E55</f>
        <v>6292</v>
      </c>
      <c r="F42" s="3">
        <f>Historicals!F56+Historicals!F55</f>
        <v>7394</v>
      </c>
      <c r="G42" s="3">
        <f>Historicals!G56+Historicals!G55</f>
        <v>8243</v>
      </c>
      <c r="H42" s="3">
        <f>Historicals!H56+Historicals!H55</f>
        <v>9585</v>
      </c>
      <c r="I42" s="3">
        <f>Historicals!I56+Historicals!I55</f>
        <v>11802</v>
      </c>
      <c r="J42" s="3">
        <f>I42</f>
        <v>11802</v>
      </c>
      <c r="K42" s="3">
        <f t="shared" ref="K42:N42" si="52">J42</f>
        <v>11802</v>
      </c>
      <c r="L42" s="3">
        <f t="shared" si="52"/>
        <v>11802</v>
      </c>
      <c r="M42" s="3">
        <f t="shared" si="52"/>
        <v>11802</v>
      </c>
      <c r="N42" s="3">
        <f t="shared" si="52"/>
        <v>11802</v>
      </c>
      <c r="O42" s="89" t="s">
        <v>291</v>
      </c>
    </row>
    <row r="43" spans="1:15" ht="15" thickBot="1" x14ac:dyDescent="0.35">
      <c r="A43" s="6" t="s">
        <v>175</v>
      </c>
      <c r="B43" s="7">
        <f>SUM(B33:B42)</f>
        <v>21597</v>
      </c>
      <c r="C43" s="7">
        <f t="shared" ref="C43:I43" si="53">SUM(C33:C42)</f>
        <v>21396</v>
      </c>
      <c r="D43" s="7">
        <f t="shared" si="53"/>
        <v>23259</v>
      </c>
      <c r="E43" s="7">
        <f t="shared" si="53"/>
        <v>22536</v>
      </c>
      <c r="F43" s="7">
        <f t="shared" si="53"/>
        <v>23717</v>
      </c>
      <c r="G43" s="7">
        <f t="shared" si="53"/>
        <v>31342</v>
      </c>
      <c r="H43" s="7">
        <f t="shared" si="53"/>
        <v>37740</v>
      </c>
      <c r="I43" s="7">
        <f t="shared" si="53"/>
        <v>40321</v>
      </c>
      <c r="J43" s="7">
        <f t="shared" ref="J43" si="54">SUM(J33:J42)</f>
        <v>43282.727121506032</v>
      </c>
      <c r="K43" s="7">
        <f t="shared" ref="K43" si="55">SUM(K33:K42)</f>
        <v>43215.629353695673</v>
      </c>
      <c r="L43" s="7">
        <f t="shared" ref="L43" si="56">SUM(L33:L42)</f>
        <v>43909.196619586408</v>
      </c>
      <c r="M43" s="7">
        <f t="shared" ref="M43" si="57">SUM(M33:M42)</f>
        <v>44618.506082069303</v>
      </c>
      <c r="N43" s="7">
        <f t="shared" ref="N43" si="58">SUM(N33:N42)</f>
        <v>45369.714208123522</v>
      </c>
    </row>
    <row r="44" spans="1:15" s="50" customFormat="1" ht="15" thickTop="1" x14ac:dyDescent="0.3">
      <c r="A44" s="61" t="s">
        <v>176</v>
      </c>
      <c r="B44" s="61">
        <f>B31-B43</f>
        <v>0</v>
      </c>
      <c r="C44" s="61">
        <f t="shared" ref="C44:I44" si="59">C31-C43</f>
        <v>0</v>
      </c>
      <c r="D44" s="61">
        <f t="shared" si="59"/>
        <v>0</v>
      </c>
      <c r="E44" s="61">
        <f t="shared" si="59"/>
        <v>0</v>
      </c>
      <c r="F44" s="61">
        <f t="shared" si="59"/>
        <v>0</v>
      </c>
      <c r="G44" s="61">
        <f t="shared" si="59"/>
        <v>0</v>
      </c>
      <c r="H44" s="61">
        <f t="shared" si="59"/>
        <v>0</v>
      </c>
      <c r="I44" s="61">
        <f t="shared" si="59"/>
        <v>0</v>
      </c>
      <c r="J44" s="61">
        <f>J31-J43</f>
        <v>994.86664932809799</v>
      </c>
      <c r="K44" s="61">
        <f t="shared" ref="K44" si="60">K31-K43</f>
        <v>3883.2011915643088</v>
      </c>
      <c r="L44" s="61">
        <f t="shared" ref="L44" si="61">L31-L43</f>
        <v>6803.3293535879202</v>
      </c>
      <c r="M44" s="61">
        <f t="shared" ref="M44" si="62">M31-M43</f>
        <v>10516.775678013131</v>
      </c>
      <c r="N44" s="61">
        <f t="shared" ref="N44" si="63">N31-N43</f>
        <v>15052.049886690242</v>
      </c>
    </row>
    <row r="45" spans="1:15" x14ac:dyDescent="0.3">
      <c r="A45" s="59" t="s">
        <v>177</v>
      </c>
      <c r="B45" s="39"/>
      <c r="C45" s="39"/>
      <c r="D45" s="39"/>
      <c r="E45" s="39"/>
      <c r="F45" s="39"/>
      <c r="G45" s="39"/>
      <c r="H45" s="39"/>
      <c r="I45" s="39"/>
      <c r="J45" s="39"/>
      <c r="K45" s="39"/>
      <c r="L45" s="39"/>
      <c r="M45" s="39"/>
      <c r="N45" s="39"/>
    </row>
    <row r="46" spans="1:15" x14ac:dyDescent="0.3">
      <c r="A46" s="50" t="s">
        <v>134</v>
      </c>
      <c r="B46" s="9">
        <f>B7</f>
        <v>4233</v>
      </c>
      <c r="C46" s="9">
        <f t="shared" ref="C46:N46" si="64">C7</f>
        <v>4642</v>
      </c>
      <c r="D46" s="9">
        <f t="shared" si="64"/>
        <v>4945</v>
      </c>
      <c r="E46" s="9">
        <f t="shared" si="64"/>
        <v>4379</v>
      </c>
      <c r="F46" s="9">
        <f t="shared" si="64"/>
        <v>4850</v>
      </c>
      <c r="G46" s="9">
        <f t="shared" si="64"/>
        <v>2976</v>
      </c>
      <c r="H46" s="9">
        <f t="shared" si="64"/>
        <v>6923</v>
      </c>
      <c r="I46" s="9">
        <f t="shared" si="64"/>
        <v>6856</v>
      </c>
      <c r="J46" s="9">
        <f t="shared" si="64"/>
        <v>12329.245062698417</v>
      </c>
      <c r="K46" s="9">
        <f t="shared" si="64"/>
        <v>12203.687862454477</v>
      </c>
      <c r="L46" s="9">
        <f t="shared" si="64"/>
        <v>13501.530800124265</v>
      </c>
      <c r="M46" s="9">
        <f t="shared" si="64"/>
        <v>14828.831440997956</v>
      </c>
      <c r="N46" s="9">
        <f t="shared" si="64"/>
        <v>16234.535269692225</v>
      </c>
    </row>
    <row r="47" spans="1:15" x14ac:dyDescent="0.3">
      <c r="A47" s="49" t="s">
        <v>132</v>
      </c>
      <c r="B47" s="62">
        <f>B6</f>
        <v>606</v>
      </c>
      <c r="C47" s="94">
        <f t="shared" ref="C47:N47" si="65">C6</f>
        <v>649</v>
      </c>
      <c r="D47" s="94">
        <f t="shared" si="65"/>
        <v>706</v>
      </c>
      <c r="E47" s="94">
        <f t="shared" si="65"/>
        <v>747</v>
      </c>
      <c r="F47" s="94">
        <f t="shared" si="65"/>
        <v>705</v>
      </c>
      <c r="G47" s="94">
        <f t="shared" si="65"/>
        <v>721</v>
      </c>
      <c r="H47" s="94">
        <f t="shared" si="65"/>
        <v>744</v>
      </c>
      <c r="I47" s="94">
        <f t="shared" si="65"/>
        <v>717</v>
      </c>
      <c r="J47" s="94">
        <f t="shared" si="65"/>
        <v>461.74288201498041</v>
      </c>
      <c r="K47" s="94">
        <f t="shared" si="65"/>
        <v>554.12502018109319</v>
      </c>
      <c r="L47" s="94">
        <f t="shared" si="65"/>
        <v>570.60500210708722</v>
      </c>
      <c r="M47" s="94">
        <f t="shared" si="65"/>
        <v>597.16729172426903</v>
      </c>
      <c r="N47" s="94">
        <f t="shared" si="65"/>
        <v>632.93864741255481</v>
      </c>
    </row>
    <row r="48" spans="1:15" x14ac:dyDescent="0.3">
      <c r="A48" s="49" t="s">
        <v>178</v>
      </c>
      <c r="B48" s="3">
        <f>Historicals!B101</f>
        <v>1262</v>
      </c>
      <c r="C48" s="3">
        <f>Historicals!C101</f>
        <v>748</v>
      </c>
      <c r="D48" s="3">
        <f>Historicals!D101</f>
        <v>703</v>
      </c>
      <c r="E48" s="3">
        <f>Historicals!E101</f>
        <v>529</v>
      </c>
      <c r="F48" s="3">
        <f>Historicals!F101</f>
        <v>757</v>
      </c>
      <c r="G48" s="3">
        <f>Historicals!G101</f>
        <v>1028</v>
      </c>
      <c r="H48" s="3">
        <f>Historicals!H101</f>
        <v>1177</v>
      </c>
      <c r="I48" s="3">
        <f>Historicals!I101</f>
        <v>1231</v>
      </c>
      <c r="J48" s="3">
        <f>J12</f>
        <v>1987.6964353452388</v>
      </c>
      <c r="K48" s="3">
        <f t="shared" ref="K48:N48" si="66">K12</f>
        <v>1966.9794973049886</v>
      </c>
      <c r="L48" s="3">
        <f t="shared" si="66"/>
        <v>2181.1235820205038</v>
      </c>
      <c r="M48" s="3">
        <f t="shared" si="66"/>
        <v>2400.1281877646629</v>
      </c>
      <c r="N48" s="3">
        <f t="shared" si="66"/>
        <v>2632.0693194992173</v>
      </c>
      <c r="O48" s="49" t="s">
        <v>287</v>
      </c>
    </row>
    <row r="49" spans="1:15" x14ac:dyDescent="0.3">
      <c r="A49" s="50" t="s">
        <v>179</v>
      </c>
      <c r="B49" s="9">
        <f>B46+B47-B48</f>
        <v>3577</v>
      </c>
      <c r="C49" s="9">
        <f t="shared" ref="C49:N49" si="67">C46+C47-C48</f>
        <v>4543</v>
      </c>
      <c r="D49" s="9">
        <f t="shared" si="67"/>
        <v>4948</v>
      </c>
      <c r="E49" s="9">
        <f t="shared" si="67"/>
        <v>4597</v>
      </c>
      <c r="F49" s="9">
        <f t="shared" si="67"/>
        <v>4798</v>
      </c>
      <c r="G49" s="9">
        <f t="shared" si="67"/>
        <v>2669</v>
      </c>
      <c r="H49" s="9">
        <f t="shared" si="67"/>
        <v>6490</v>
      </c>
      <c r="I49" s="9">
        <f t="shared" si="67"/>
        <v>6342</v>
      </c>
      <c r="J49" s="9">
        <f t="shared" si="67"/>
        <v>10803.291509368159</v>
      </c>
      <c r="K49" s="9">
        <f t="shared" si="67"/>
        <v>10790.833385330581</v>
      </c>
      <c r="L49" s="9">
        <f t="shared" si="67"/>
        <v>11891.012220210849</v>
      </c>
      <c r="M49" s="9">
        <f t="shared" si="67"/>
        <v>13025.870544957561</v>
      </c>
      <c r="N49" s="9">
        <f t="shared" si="67"/>
        <v>14235.404597605564</v>
      </c>
    </row>
    <row r="50" spans="1:15" x14ac:dyDescent="0.3">
      <c r="A50" s="49" t="s">
        <v>180</v>
      </c>
      <c r="B50" s="3">
        <f>Historicals!B100</f>
        <v>53</v>
      </c>
      <c r="C50" s="3">
        <f>Historicals!C100</f>
        <v>70</v>
      </c>
      <c r="D50" s="3">
        <f>Historicals!D100</f>
        <v>98</v>
      </c>
      <c r="E50" s="3">
        <f>Historicals!E100</f>
        <v>125</v>
      </c>
      <c r="F50" s="3">
        <f>Historicals!F100</f>
        <v>153</v>
      </c>
      <c r="G50" s="3">
        <f>Historicals!G100</f>
        <v>140</v>
      </c>
      <c r="H50" s="3">
        <f>Historicals!H100</f>
        <v>293</v>
      </c>
      <c r="I50" s="3">
        <f>Historicals!I100</f>
        <v>290</v>
      </c>
      <c r="J50" s="3">
        <f>I72*J73</f>
        <v>282.59999999999997</v>
      </c>
      <c r="K50" s="3">
        <f>J50</f>
        <v>282.59999999999997</v>
      </c>
      <c r="L50" s="3">
        <f t="shared" ref="L50:N50" si="68">K50</f>
        <v>282.59999999999997</v>
      </c>
      <c r="M50" s="3">
        <f t="shared" si="68"/>
        <v>282.59999999999997</v>
      </c>
      <c r="N50" s="3">
        <f t="shared" si="68"/>
        <v>282.59999999999997</v>
      </c>
    </row>
    <row r="51" spans="1:15" x14ac:dyDescent="0.3">
      <c r="A51" s="49" t="s">
        <v>181</v>
      </c>
      <c r="B51" s="3">
        <f>(5451-B23)</f>
        <v>-113</v>
      </c>
      <c r="C51" s="3">
        <f>(B23-C23)</f>
        <v>-324</v>
      </c>
      <c r="D51" s="3">
        <f t="shared" ref="D51:M51" si="69">(C23-D23)</f>
        <v>-796</v>
      </c>
      <c r="E51" s="3">
        <f t="shared" si="69"/>
        <v>204</v>
      </c>
      <c r="F51" s="3">
        <f t="shared" si="69"/>
        <v>-802</v>
      </c>
      <c r="G51" s="3">
        <f t="shared" si="69"/>
        <v>-586</v>
      </c>
      <c r="H51" s="3">
        <f t="shared" si="69"/>
        <v>-613</v>
      </c>
      <c r="I51" s="3">
        <f t="shared" si="69"/>
        <v>-1248</v>
      </c>
      <c r="J51" s="3">
        <f>(I23-J23)</f>
        <v>299.33335067190274</v>
      </c>
      <c r="K51" s="3">
        <f t="shared" si="69"/>
        <v>-566.40742073017464</v>
      </c>
      <c r="L51" s="3">
        <f t="shared" si="69"/>
        <v>-665.29880832794152</v>
      </c>
      <c r="M51" s="3">
        <f t="shared" si="69"/>
        <v>-765.04970483879879</v>
      </c>
      <c r="N51" s="3">
        <f>(M23-N23)</f>
        <v>-877.5681266078027</v>
      </c>
      <c r="O51" s="49" t="s">
        <v>277</v>
      </c>
    </row>
    <row r="52" spans="1:15" x14ac:dyDescent="0.3">
      <c r="A52" s="49"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622.13017859075899</v>
      </c>
      <c r="K52" s="3">
        <f>'Segmental forecast'!K14</f>
        <v>659.46534756256438</v>
      </c>
      <c r="L52" s="3">
        <f>'Segmental forecast'!L14</f>
        <v>676.96593146104476</v>
      </c>
      <c r="M52" s="3">
        <f>'Segmental forecast'!M14</f>
        <v>705.77294735596615</v>
      </c>
      <c r="N52" s="3">
        <f>'Segmental forecast'!N14</f>
        <v>745.00063307985033</v>
      </c>
    </row>
    <row r="53" spans="1:15" x14ac:dyDescent="0.3">
      <c r="A53" s="50" t="s">
        <v>182</v>
      </c>
      <c r="B53" s="9">
        <f>B49+B50-B51-B52</f>
        <v>2780</v>
      </c>
      <c r="C53" s="9">
        <f t="shared" ref="C53:N53" si="70">C49+C50-C51-C52</f>
        <v>3794</v>
      </c>
      <c r="D53" s="9">
        <f t="shared" si="70"/>
        <v>4737</v>
      </c>
      <c r="E53" s="9">
        <f t="shared" si="70"/>
        <v>3490</v>
      </c>
      <c r="F53" s="9">
        <f t="shared" si="70"/>
        <v>4634</v>
      </c>
      <c r="G53" s="9">
        <f t="shared" si="70"/>
        <v>2309</v>
      </c>
      <c r="H53" s="9">
        <f t="shared" si="70"/>
        <v>6701</v>
      </c>
      <c r="I53" s="9">
        <f t="shared" si="70"/>
        <v>7122</v>
      </c>
      <c r="J53" s="9">
        <f t="shared" si="70"/>
        <v>10164.427980105498</v>
      </c>
      <c r="K53" s="9">
        <f t="shared" si="70"/>
        <v>10980.375458498193</v>
      </c>
      <c r="L53" s="9">
        <f t="shared" si="70"/>
        <v>12161.945097077745</v>
      </c>
      <c r="M53" s="9">
        <f t="shared" si="70"/>
        <v>13367.747302440393</v>
      </c>
      <c r="N53" s="9">
        <f t="shared" si="70"/>
        <v>14650.572091133517</v>
      </c>
    </row>
    <row r="54" spans="1:15" x14ac:dyDescent="0.3">
      <c r="A54" s="49" t="s">
        <v>183</v>
      </c>
      <c r="B54" s="3">
        <v>0</v>
      </c>
      <c r="C54" s="3">
        <v>0</v>
      </c>
      <c r="D54" s="3">
        <v>0</v>
      </c>
      <c r="E54" s="3">
        <v>0</v>
      </c>
      <c r="F54" s="3">
        <v>0</v>
      </c>
      <c r="G54" s="3">
        <v>0</v>
      </c>
      <c r="H54" s="3">
        <v>0</v>
      </c>
      <c r="I54" s="3">
        <v>0</v>
      </c>
      <c r="J54" s="3">
        <v>0</v>
      </c>
      <c r="K54" s="3">
        <v>0</v>
      </c>
      <c r="L54" s="3">
        <v>0</v>
      </c>
      <c r="M54" s="3">
        <v>0</v>
      </c>
      <c r="N54" s="3">
        <v>0</v>
      </c>
    </row>
    <row r="55" spans="1:15" x14ac:dyDescent="0.3">
      <c r="A55" s="28" t="s">
        <v>184</v>
      </c>
      <c r="B55" s="27">
        <f>B53+B54</f>
        <v>2780</v>
      </c>
      <c r="C55" s="27">
        <f t="shared" ref="C55:N55" si="71">C53+C54</f>
        <v>3794</v>
      </c>
      <c r="D55" s="27">
        <f t="shared" si="71"/>
        <v>4737</v>
      </c>
      <c r="E55" s="27">
        <f t="shared" si="71"/>
        <v>3490</v>
      </c>
      <c r="F55" s="27">
        <f t="shared" si="71"/>
        <v>4634</v>
      </c>
      <c r="G55" s="27">
        <f t="shared" si="71"/>
        <v>2309</v>
      </c>
      <c r="H55" s="27">
        <f t="shared" si="71"/>
        <v>6701</v>
      </c>
      <c r="I55" s="27">
        <f t="shared" si="71"/>
        <v>7122</v>
      </c>
      <c r="J55" s="27">
        <f t="shared" si="71"/>
        <v>10164.427980105498</v>
      </c>
      <c r="K55" s="27">
        <f t="shared" si="71"/>
        <v>10980.375458498193</v>
      </c>
      <c r="L55" s="27">
        <f t="shared" si="71"/>
        <v>12161.945097077745</v>
      </c>
      <c r="M55" s="27">
        <f t="shared" si="71"/>
        <v>13367.747302440393</v>
      </c>
      <c r="N55" s="27">
        <f t="shared" si="71"/>
        <v>14650.572091133517</v>
      </c>
    </row>
    <row r="56" spans="1:15" x14ac:dyDescent="0.3">
      <c r="A56" s="49" t="s">
        <v>185</v>
      </c>
      <c r="B56" s="3">
        <f>SUM(Historicals!B78:B81)</f>
        <v>-28</v>
      </c>
      <c r="C56" s="3">
        <f>SUM(Historicals!C78:C81)</f>
        <v>-1200</v>
      </c>
      <c r="D56" s="3">
        <f>SUM(Historicals!D78:D81)</f>
        <v>-987</v>
      </c>
      <c r="E56" s="3">
        <f>SUM(Historicals!E78:E81)</f>
        <v>298</v>
      </c>
      <c r="F56" s="3">
        <f>SUM(Historicals!F78:F81)</f>
        <v>-269</v>
      </c>
      <c r="G56" s="3">
        <f>SUM(Historicals!G78:G81)</f>
        <v>-1059</v>
      </c>
      <c r="H56" s="3">
        <f>SUM(Historicals!H78:H81)</f>
        <v>-3971</v>
      </c>
      <c r="I56" s="3">
        <f>SUM(Historicals!I78:I81)</f>
        <v>-1505</v>
      </c>
      <c r="J56" s="3">
        <f>I56</f>
        <v>-1505</v>
      </c>
      <c r="K56" s="3">
        <f t="shared" ref="K56:N56" si="72">J56</f>
        <v>-1505</v>
      </c>
      <c r="L56" s="3">
        <f t="shared" si="72"/>
        <v>-1505</v>
      </c>
      <c r="M56" s="3">
        <f t="shared" si="72"/>
        <v>-1505</v>
      </c>
      <c r="N56" s="3">
        <f t="shared" si="72"/>
        <v>-1505</v>
      </c>
      <c r="O56" s="89" t="s">
        <v>292</v>
      </c>
    </row>
    <row r="57" spans="1:15" x14ac:dyDescent="0.3">
      <c r="A57" s="49" t="s">
        <v>186</v>
      </c>
      <c r="B57" s="3">
        <f>Historicals!B82</f>
        <v>-147</v>
      </c>
      <c r="C57" s="3">
        <f>Historicals!C82</f>
        <v>166</v>
      </c>
      <c r="D57" s="3">
        <f>Historicals!D82</f>
        <v>-21</v>
      </c>
      <c r="E57" s="3">
        <f>Historicals!E82</f>
        <v>-22</v>
      </c>
      <c r="F57" s="3">
        <f>Historicals!F82</f>
        <v>5</v>
      </c>
      <c r="G57" s="3">
        <f>Historicals!G82</f>
        <v>31</v>
      </c>
      <c r="H57" s="3">
        <f>Historicals!H82</f>
        <v>171</v>
      </c>
      <c r="I57" s="3">
        <f>Historicals!I82</f>
        <v>-19</v>
      </c>
      <c r="J57" s="3">
        <f>I57</f>
        <v>-19</v>
      </c>
      <c r="K57" s="3">
        <f t="shared" ref="K57:N57" si="73">J57</f>
        <v>-19</v>
      </c>
      <c r="L57" s="3">
        <f t="shared" si="73"/>
        <v>-19</v>
      </c>
      <c r="M57" s="3">
        <f t="shared" si="73"/>
        <v>-19</v>
      </c>
      <c r="N57" s="3">
        <f t="shared" si="73"/>
        <v>-19</v>
      </c>
      <c r="O57" s="89" t="s">
        <v>292</v>
      </c>
    </row>
    <row r="58" spans="1:15" x14ac:dyDescent="0.3">
      <c r="A58" s="28" t="s">
        <v>187</v>
      </c>
      <c r="B58" s="27">
        <f>+B56+B57</f>
        <v>-175</v>
      </c>
      <c r="C58" s="27">
        <f t="shared" ref="C58:I58" si="74">+C56+C57</f>
        <v>-1034</v>
      </c>
      <c r="D58" s="27">
        <f t="shared" si="74"/>
        <v>-1008</v>
      </c>
      <c r="E58" s="27">
        <f t="shared" si="74"/>
        <v>276</v>
      </c>
      <c r="F58" s="27">
        <f t="shared" si="74"/>
        <v>-264</v>
      </c>
      <c r="G58" s="27">
        <f t="shared" si="74"/>
        <v>-1028</v>
      </c>
      <c r="H58" s="27">
        <f t="shared" si="74"/>
        <v>-3800</v>
      </c>
      <c r="I58" s="27">
        <f t="shared" si="74"/>
        <v>-1524</v>
      </c>
      <c r="J58" s="27">
        <f t="shared" ref="J58" si="75">+J56+J57</f>
        <v>-1524</v>
      </c>
      <c r="K58" s="27">
        <f t="shared" ref="K58" si="76">+K56+K57</f>
        <v>-1524</v>
      </c>
      <c r="L58" s="27">
        <f t="shared" ref="L58" si="77">+L56+L57</f>
        <v>-1524</v>
      </c>
      <c r="M58" s="27">
        <f t="shared" ref="M58" si="78">+M56+M57</f>
        <v>-1524</v>
      </c>
      <c r="N58" s="27">
        <f t="shared" ref="N58" si="79">+N56+N57</f>
        <v>-1524</v>
      </c>
    </row>
    <row r="59" spans="1:15" x14ac:dyDescent="0.3">
      <c r="A59" s="49" t="s">
        <v>188</v>
      </c>
      <c r="B59" s="3">
        <f>Historicals!B88+Historicals!B89</f>
        <v>-2020</v>
      </c>
      <c r="C59" s="3">
        <f>Historicals!C88+Historicals!C89</f>
        <v>-2731</v>
      </c>
      <c r="D59" s="3">
        <f>Historicals!D88+Historicals!D89</f>
        <v>-2734</v>
      </c>
      <c r="E59" s="3">
        <f>Historicals!E88+Historicals!E89</f>
        <v>-3521</v>
      </c>
      <c r="F59" s="3">
        <f>Historicals!F88+Historicals!F89</f>
        <v>-3586</v>
      </c>
      <c r="G59" s="3">
        <f>Historicals!G88+Historicals!G89</f>
        <v>-2182</v>
      </c>
      <c r="H59" s="3">
        <f>Historicals!H88+Historicals!H89</f>
        <v>564</v>
      </c>
      <c r="I59" s="3">
        <f>Historicals!I88+Historicals!I89</f>
        <v>-2863</v>
      </c>
      <c r="J59" s="3">
        <f>I59</f>
        <v>-2863</v>
      </c>
      <c r="K59" s="3">
        <f t="shared" ref="K59:N59" si="80">J59</f>
        <v>-2863</v>
      </c>
      <c r="L59" s="3">
        <f t="shared" si="80"/>
        <v>-2863</v>
      </c>
      <c r="M59" s="3">
        <f t="shared" si="80"/>
        <v>-2863</v>
      </c>
      <c r="N59" s="3">
        <f t="shared" si="80"/>
        <v>-2863</v>
      </c>
    </row>
    <row r="60" spans="1:15" x14ac:dyDescent="0.3">
      <c r="A60" s="55" t="s">
        <v>129</v>
      </c>
      <c r="B60" s="56" t="str">
        <f>IFERROR(B59/A59-1,"nm")</f>
        <v>nm</v>
      </c>
      <c r="C60" s="93">
        <f t="shared" ref="C60:I60" si="81">IFERROR(C59/B59-1,"nm")</f>
        <v>0.35198019801980207</v>
      </c>
      <c r="D60" s="93">
        <f t="shared" si="81"/>
        <v>1.0984987184181616E-3</v>
      </c>
      <c r="E60" s="93">
        <f t="shared" si="81"/>
        <v>0.28785662033650339</v>
      </c>
      <c r="F60" s="93">
        <f t="shared" si="81"/>
        <v>1.8460664583924924E-2</v>
      </c>
      <c r="G60" s="93">
        <f t="shared" si="81"/>
        <v>-0.39152258784160621</v>
      </c>
      <c r="H60" s="93">
        <f t="shared" si="81"/>
        <v>-1.2584784601283228</v>
      </c>
      <c r="I60" s="93">
        <f t="shared" si="81"/>
        <v>-6.0762411347517729</v>
      </c>
      <c r="J60" s="56"/>
      <c r="K60" s="63"/>
      <c r="L60" s="63"/>
      <c r="M60" s="64"/>
      <c r="N60" s="64"/>
    </row>
    <row r="61" spans="1:15" x14ac:dyDescent="0.3">
      <c r="A61" s="49" t="s">
        <v>189</v>
      </c>
      <c r="B61" s="3">
        <f>Historicals!B90</f>
        <v>-899</v>
      </c>
      <c r="C61" s="3">
        <f>Historicals!C90</f>
        <v>-1022</v>
      </c>
      <c r="D61" s="3">
        <f>Historicals!D90</f>
        <v>-1133</v>
      </c>
      <c r="E61" s="3">
        <f>Historicals!E90</f>
        <v>-1243</v>
      </c>
      <c r="F61" s="3">
        <f>Historicals!F90</f>
        <v>-1332</v>
      </c>
      <c r="G61" s="3">
        <f>Historicals!G90</f>
        <v>-1452</v>
      </c>
      <c r="H61" s="3">
        <f>Historicals!H90</f>
        <v>-1638</v>
      </c>
      <c r="I61" s="3">
        <f>Historicals!I90</f>
        <v>-1837</v>
      </c>
      <c r="J61" s="3">
        <f>-J17*J15</f>
        <v>-3621.2215058471443</v>
      </c>
      <c r="K61" s="3">
        <f t="shared" ref="K61:N61" si="82">-K17*K15</f>
        <v>-3583.4790114538159</v>
      </c>
      <c r="L61" s="3">
        <f t="shared" si="82"/>
        <v>-3973.610598517354</v>
      </c>
      <c r="M61" s="3">
        <f t="shared" si="82"/>
        <v>-4372.597171163985</v>
      </c>
      <c r="N61" s="3">
        <f t="shared" si="82"/>
        <v>-4795.1517420694827</v>
      </c>
      <c r="O61" s="49" t="s">
        <v>286</v>
      </c>
    </row>
    <row r="62" spans="1:15" x14ac:dyDescent="0.3">
      <c r="A62" s="49" t="s">
        <v>190</v>
      </c>
      <c r="B62" s="3">
        <f>(B33+B34+B36)-1373</f>
        <v>-113</v>
      </c>
      <c r="C62" s="3">
        <f>(C33+C34+C36)-(B33+B34+B36)</f>
        <v>795</v>
      </c>
      <c r="D62" s="3">
        <f t="shared" ref="D62:N62" si="83">(D33+D34+D36)-(C33+C34+C36)</f>
        <v>1747</v>
      </c>
      <c r="E62" s="3">
        <f t="shared" si="83"/>
        <v>8</v>
      </c>
      <c r="F62" s="3">
        <f t="shared" si="83"/>
        <v>-331</v>
      </c>
      <c r="G62" s="3">
        <f t="shared" si="83"/>
        <v>6178</v>
      </c>
      <c r="H62" s="3">
        <f t="shared" si="83"/>
        <v>-242</v>
      </c>
      <c r="I62" s="3">
        <f t="shared" si="83"/>
        <v>15</v>
      </c>
      <c r="J62" s="3">
        <f t="shared" si="83"/>
        <v>0</v>
      </c>
      <c r="K62" s="3">
        <f t="shared" si="83"/>
        <v>0</v>
      </c>
      <c r="L62" s="3">
        <f t="shared" si="83"/>
        <v>0</v>
      </c>
      <c r="M62" s="3">
        <f t="shared" si="83"/>
        <v>0</v>
      </c>
      <c r="N62" s="3">
        <f t="shared" si="83"/>
        <v>0</v>
      </c>
      <c r="O62" s="49" t="s">
        <v>293</v>
      </c>
    </row>
    <row r="63" spans="1:15" x14ac:dyDescent="0.3">
      <c r="A63" s="49" t="s">
        <v>191</v>
      </c>
      <c r="B63" s="3">
        <f>Historicals!B91</f>
        <v>199</v>
      </c>
      <c r="C63" s="3">
        <f>Historicals!C91</f>
        <v>274</v>
      </c>
      <c r="D63" s="3">
        <f>Historicals!D91</f>
        <v>-46</v>
      </c>
      <c r="E63" s="3">
        <f>Historicals!E91</f>
        <v>-78</v>
      </c>
      <c r="F63" s="3">
        <f>Historicals!F91</f>
        <v>-50</v>
      </c>
      <c r="G63" s="3">
        <f>Historicals!G91</f>
        <v>-58</v>
      </c>
      <c r="H63" s="3">
        <f>Historicals!H91</f>
        <v>-136</v>
      </c>
      <c r="I63" s="3">
        <f>Historicals!I91</f>
        <v>-151</v>
      </c>
      <c r="J63" s="3">
        <f>I63</f>
        <v>-151</v>
      </c>
      <c r="K63" s="3">
        <f t="shared" ref="K63:N63" si="84">J63</f>
        <v>-151</v>
      </c>
      <c r="L63" s="3">
        <f t="shared" si="84"/>
        <v>-151</v>
      </c>
      <c r="M63" s="3">
        <f t="shared" si="84"/>
        <v>-151</v>
      </c>
      <c r="N63" s="3">
        <f t="shared" si="84"/>
        <v>-151</v>
      </c>
    </row>
    <row r="64" spans="1:15" x14ac:dyDescent="0.3">
      <c r="A64" s="28" t="s">
        <v>192</v>
      </c>
      <c r="B64" s="27">
        <f>+B59+B61+B62+B63</f>
        <v>-2833</v>
      </c>
      <c r="C64" s="27">
        <f t="shared" ref="C64:I64" si="85">+C59+C61+C62+C63</f>
        <v>-2684</v>
      </c>
      <c r="D64" s="27">
        <f t="shared" si="85"/>
        <v>-2166</v>
      </c>
      <c r="E64" s="27">
        <f t="shared" si="85"/>
        <v>-4834</v>
      </c>
      <c r="F64" s="27">
        <f t="shared" si="85"/>
        <v>-5299</v>
      </c>
      <c r="G64" s="27">
        <f t="shared" si="85"/>
        <v>2486</v>
      </c>
      <c r="H64" s="27">
        <f t="shared" si="85"/>
        <v>-1452</v>
      </c>
      <c r="I64" s="27">
        <f t="shared" si="85"/>
        <v>-4836</v>
      </c>
      <c r="J64" s="27">
        <f t="shared" ref="J64" si="86">+J59+J61+J62+J63</f>
        <v>-6635.2215058471447</v>
      </c>
      <c r="K64" s="27">
        <f t="shared" ref="K64" si="87">+K59+K61+K62+K63</f>
        <v>-6597.4790114538155</v>
      </c>
      <c r="L64" s="27">
        <f t="shared" ref="L64" si="88">+L59+L61+L62+L63</f>
        <v>-6987.6105985173544</v>
      </c>
      <c r="M64" s="27">
        <f t="shared" ref="M64" si="89">+M59+M61+M62+M63</f>
        <v>-7386.597171163985</v>
      </c>
      <c r="N64" s="27">
        <f t="shared" ref="N64" si="90">+N59+N61+N62+N63</f>
        <v>-7809.1517420694827</v>
      </c>
    </row>
    <row r="65" spans="1:14" x14ac:dyDescent="0.3">
      <c r="A65" s="49" t="s">
        <v>193</v>
      </c>
      <c r="B65" s="3">
        <f>Historicals!B93</f>
        <v>-83</v>
      </c>
      <c r="C65" s="3">
        <f>Historicals!C93</f>
        <v>-105</v>
      </c>
      <c r="D65" s="3">
        <f>Historicals!D93</f>
        <v>-20</v>
      </c>
      <c r="E65" s="3">
        <f>Historicals!E93</f>
        <v>45</v>
      </c>
      <c r="F65" s="3">
        <f>Historicals!F93</f>
        <v>-129</v>
      </c>
      <c r="G65" s="3">
        <f>Historicals!G93</f>
        <v>-66</v>
      </c>
      <c r="H65" s="3">
        <f>Historicals!H93</f>
        <v>143</v>
      </c>
      <c r="I65" s="3">
        <f>Historicals!I93</f>
        <v>-143</v>
      </c>
      <c r="J65" s="3">
        <f>I65</f>
        <v>-143</v>
      </c>
      <c r="K65" s="3">
        <f t="shared" ref="K65:N65" si="91">J65</f>
        <v>-143</v>
      </c>
      <c r="L65" s="3">
        <f t="shared" si="91"/>
        <v>-143</v>
      </c>
      <c r="M65" s="3">
        <f t="shared" si="91"/>
        <v>-143</v>
      </c>
      <c r="N65" s="3">
        <f t="shared" si="91"/>
        <v>-143</v>
      </c>
    </row>
    <row r="66" spans="1:14" x14ac:dyDescent="0.3">
      <c r="A66" s="28" t="s">
        <v>194</v>
      </c>
      <c r="B66" s="27">
        <f>+B55+B58+B64+B65</f>
        <v>-311</v>
      </c>
      <c r="C66" s="27">
        <f t="shared" ref="C66:I66" si="92">+C55+C58+C64+C65</f>
        <v>-29</v>
      </c>
      <c r="D66" s="27">
        <f t="shared" si="92"/>
        <v>1543</v>
      </c>
      <c r="E66" s="27">
        <f t="shared" si="92"/>
        <v>-1023</v>
      </c>
      <c r="F66" s="27">
        <f t="shared" si="92"/>
        <v>-1058</v>
      </c>
      <c r="G66" s="27">
        <f t="shared" si="92"/>
        <v>3701</v>
      </c>
      <c r="H66" s="27">
        <f t="shared" si="92"/>
        <v>1592</v>
      </c>
      <c r="I66" s="27">
        <f t="shared" si="92"/>
        <v>619</v>
      </c>
      <c r="J66" s="27">
        <f t="shared" ref="J66" si="93">+J55+J58+J64+J65</f>
        <v>1862.2064742583534</v>
      </c>
      <c r="K66" s="27">
        <f t="shared" ref="K66" si="94">+K55+K58+K64+K65</f>
        <v>2715.8964470443771</v>
      </c>
      <c r="L66" s="27">
        <f t="shared" ref="L66" si="95">+L55+L58+L64+L65</f>
        <v>3507.3344985603908</v>
      </c>
      <c r="M66" s="27">
        <f t="shared" ref="M66" si="96">+M55+M58+M64+M65</f>
        <v>4314.1501312764085</v>
      </c>
      <c r="N66" s="27">
        <f t="shared" ref="N66" si="97">+N55+N58+N64+N65</f>
        <v>5174.4203490640348</v>
      </c>
    </row>
    <row r="67" spans="1:14" x14ac:dyDescent="0.3">
      <c r="A67" s="49" t="s">
        <v>195</v>
      </c>
      <c r="B67" s="3">
        <f>Historicals!B95</f>
        <v>2220</v>
      </c>
      <c r="C67" s="3">
        <f>Historicals!C95</f>
        <v>3852</v>
      </c>
      <c r="D67" s="3">
        <f>Historicals!D95</f>
        <v>3138</v>
      </c>
      <c r="E67" s="3">
        <f>Historicals!E95</f>
        <v>3808</v>
      </c>
      <c r="F67" s="3">
        <f>Historicals!F95</f>
        <v>4249</v>
      </c>
      <c r="G67" s="3">
        <f>Historicals!G95</f>
        <v>4466</v>
      </c>
      <c r="H67" s="3">
        <f>Historicals!H95</f>
        <v>8348</v>
      </c>
      <c r="I67" s="3">
        <f>Historicals!I95</f>
        <v>9889</v>
      </c>
      <c r="J67" s="3">
        <f>I68</f>
        <v>10508</v>
      </c>
      <c r="K67" s="3">
        <f>J68</f>
        <v>12370.206474258353</v>
      </c>
      <c r="L67" s="3">
        <f>K68</f>
        <v>15086.10292130273</v>
      </c>
      <c r="M67" s="3">
        <f>L68</f>
        <v>18593.437419863119</v>
      </c>
      <c r="N67" s="3">
        <f>M68</f>
        <v>22907.587551139528</v>
      </c>
    </row>
    <row r="68" spans="1:14" ht="15" thickBot="1" x14ac:dyDescent="0.35">
      <c r="A68" s="6" t="s">
        <v>196</v>
      </c>
      <c r="B68" s="7">
        <f>+B66+B67</f>
        <v>1909</v>
      </c>
      <c r="C68" s="7">
        <f t="shared" ref="C68:I68" si="98">+C66+C67</f>
        <v>3823</v>
      </c>
      <c r="D68" s="7">
        <f t="shared" si="98"/>
        <v>4681</v>
      </c>
      <c r="E68" s="7">
        <f t="shared" si="98"/>
        <v>2785</v>
      </c>
      <c r="F68" s="7">
        <f t="shared" si="98"/>
        <v>3191</v>
      </c>
      <c r="G68" s="7">
        <f t="shared" si="98"/>
        <v>8167</v>
      </c>
      <c r="H68" s="7">
        <f t="shared" si="98"/>
        <v>9940</v>
      </c>
      <c r="I68" s="7">
        <f t="shared" si="98"/>
        <v>10508</v>
      </c>
      <c r="J68" s="7">
        <f t="shared" ref="J68" si="99">+J66+J67</f>
        <v>12370.206474258353</v>
      </c>
      <c r="K68" s="7">
        <f t="shared" ref="K68" si="100">+K66+K67</f>
        <v>15086.10292130273</v>
      </c>
      <c r="L68" s="7">
        <f t="shared" ref="L68" si="101">+L66+L67</f>
        <v>18593.437419863119</v>
      </c>
      <c r="M68" s="7">
        <f t="shared" ref="M68" si="102">+M66+M67</f>
        <v>22907.587551139528</v>
      </c>
      <c r="N68" s="7">
        <f t="shared" ref="N68" si="103">+N66+N67</f>
        <v>28082.007900203564</v>
      </c>
    </row>
    <row r="69" spans="1:14" ht="15" thickTop="1" x14ac:dyDescent="0.3">
      <c r="A69" s="61" t="s">
        <v>176</v>
      </c>
      <c r="B69" s="98">
        <f>B68-B21</f>
        <v>-1943</v>
      </c>
      <c r="C69" s="98">
        <f t="shared" ref="C69:I69" si="104">C68-C21</f>
        <v>685</v>
      </c>
      <c r="D69" s="98">
        <f t="shared" si="104"/>
        <v>873</v>
      </c>
      <c r="E69" s="98">
        <f t="shared" si="104"/>
        <v>-1464</v>
      </c>
      <c r="F69" s="98">
        <f t="shared" si="104"/>
        <v>-1275</v>
      </c>
      <c r="G69" s="98">
        <f t="shared" si="104"/>
        <v>-181</v>
      </c>
      <c r="H69" s="98">
        <f t="shared" si="104"/>
        <v>51</v>
      </c>
      <c r="I69" s="98">
        <f t="shared" si="104"/>
        <v>1934</v>
      </c>
      <c r="J69" s="98">
        <f t="shared" ref="J69" si="105">J68-J21</f>
        <v>0</v>
      </c>
      <c r="K69" s="98">
        <f t="shared" ref="K69" si="106">K68-K21</f>
        <v>0</v>
      </c>
      <c r="L69" s="98">
        <f t="shared" ref="L69" si="107">L68-L21</f>
        <v>0</v>
      </c>
      <c r="M69" s="98">
        <f t="shared" ref="M69" si="108">M68-M21</f>
        <v>0</v>
      </c>
      <c r="N69" s="98">
        <f t="shared" ref="N69" si="109">N68-N21</f>
        <v>0</v>
      </c>
    </row>
    <row r="70" spans="1:14" x14ac:dyDescent="0.3">
      <c r="A70" s="50" t="s">
        <v>197</v>
      </c>
      <c r="B70" s="47">
        <f>B33+B34+B36+B37-B21-B22</f>
        <v>-4664</v>
      </c>
      <c r="C70" s="47">
        <f t="shared" ref="C70:N70" si="110">C33+C34+C36+C37-C21-C22</f>
        <v>-3402</v>
      </c>
      <c r="D70" s="47">
        <f t="shared" si="110"/>
        <v>-2377</v>
      </c>
      <c r="E70" s="47">
        <f t="shared" si="110"/>
        <v>-1435</v>
      </c>
      <c r="F70" s="47">
        <f t="shared" si="110"/>
        <v>-1184</v>
      </c>
      <c r="G70" s="47">
        <f t="shared" si="110"/>
        <v>3783</v>
      </c>
      <c r="H70" s="47">
        <f t="shared" si="110"/>
        <v>-1130</v>
      </c>
      <c r="I70" s="47">
        <f t="shared" si="110"/>
        <v>-790</v>
      </c>
      <c r="J70" s="92">
        <f t="shared" si="110"/>
        <v>-4586.2064742583534</v>
      </c>
      <c r="K70" s="92">
        <f t="shared" si="110"/>
        <v>-7302.1029213027305</v>
      </c>
      <c r="L70" s="92">
        <f t="shared" si="110"/>
        <v>-10809.437419863119</v>
      </c>
      <c r="M70" s="92">
        <f t="shared" si="110"/>
        <v>-15123.587551139528</v>
      </c>
      <c r="N70" s="92">
        <f t="shared" si="110"/>
        <v>-20298.007900203564</v>
      </c>
    </row>
    <row r="71" spans="1:14" s="89" customFormat="1" x14ac:dyDescent="0.3">
      <c r="A71" s="90"/>
      <c r="B71" s="92"/>
      <c r="C71" s="92"/>
      <c r="D71" s="92"/>
      <c r="E71" s="92"/>
      <c r="F71" s="92"/>
      <c r="G71" s="92"/>
      <c r="H71" s="92"/>
      <c r="I71" s="92"/>
      <c r="J71" s="92"/>
      <c r="K71" s="92"/>
      <c r="L71" s="92"/>
      <c r="M71" s="92"/>
      <c r="N71" s="92"/>
    </row>
    <row r="72" spans="1:14" x14ac:dyDescent="0.3">
      <c r="A72" s="17" t="s">
        <v>228</v>
      </c>
      <c r="B72" s="62">
        <f>B33+B36</f>
        <v>1186</v>
      </c>
      <c r="C72" s="62">
        <f t="shared" ref="C72:N72" si="111">C33+C36</f>
        <v>2054</v>
      </c>
      <c r="D72" s="62">
        <f t="shared" si="111"/>
        <v>3477</v>
      </c>
      <c r="E72" s="62">
        <f t="shared" si="111"/>
        <v>3474</v>
      </c>
      <c r="F72" s="62">
        <f t="shared" si="111"/>
        <v>3470</v>
      </c>
      <c r="G72" s="62">
        <f t="shared" si="111"/>
        <v>9409</v>
      </c>
      <c r="H72" s="62">
        <f t="shared" si="111"/>
        <v>9413</v>
      </c>
      <c r="I72" s="62">
        <f t="shared" si="111"/>
        <v>9420</v>
      </c>
      <c r="J72" s="94">
        <f t="shared" si="111"/>
        <v>9420</v>
      </c>
      <c r="K72" s="94">
        <f t="shared" si="111"/>
        <v>9420</v>
      </c>
      <c r="L72" s="94">
        <f t="shared" si="111"/>
        <v>9420</v>
      </c>
      <c r="M72" s="94">
        <f t="shared" si="111"/>
        <v>9420</v>
      </c>
      <c r="N72" s="94">
        <f t="shared" si="111"/>
        <v>9420</v>
      </c>
    </row>
    <row r="73" spans="1:14" x14ac:dyDescent="0.3">
      <c r="A73" s="17" t="s">
        <v>276</v>
      </c>
      <c r="B73" s="78">
        <f>B50/B72</f>
        <v>4.4688026981450253E-2</v>
      </c>
      <c r="C73" s="78">
        <f t="shared" ref="C73:I73" si="112">C50/C72</f>
        <v>3.4079844206426485E-2</v>
      </c>
      <c r="D73" s="78">
        <f t="shared" si="112"/>
        <v>2.8185217141213689E-2</v>
      </c>
      <c r="E73" s="78">
        <f t="shared" si="112"/>
        <v>3.5981577432354632E-2</v>
      </c>
      <c r="F73" s="78">
        <f t="shared" si="112"/>
        <v>4.4092219020172914E-2</v>
      </c>
      <c r="G73" s="78">
        <f t="shared" si="112"/>
        <v>1.4879370815176958E-2</v>
      </c>
      <c r="H73" s="78">
        <f t="shared" si="112"/>
        <v>3.1127164559651546E-2</v>
      </c>
      <c r="I73" s="78">
        <f t="shared" si="112"/>
        <v>3.0785562632696391E-2</v>
      </c>
      <c r="J73" s="80">
        <v>0.03</v>
      </c>
      <c r="K73" s="97">
        <v>0.03</v>
      </c>
      <c r="L73" s="97">
        <v>0.03</v>
      </c>
      <c r="M73" s="97">
        <v>0.03</v>
      </c>
      <c r="N73" s="97">
        <v>0.03</v>
      </c>
    </row>
    <row r="75" spans="1:14" x14ac:dyDescent="0.3">
      <c r="B75" s="95"/>
      <c r="C75" s="95"/>
      <c r="D75" s="95"/>
      <c r="E75" s="95"/>
      <c r="F75" s="95"/>
      <c r="G75" s="95"/>
      <c r="H75" s="95"/>
      <c r="I75" s="95"/>
    </row>
    <row r="77" spans="1:14" x14ac:dyDescent="0.3">
      <c r="B77" s="95"/>
      <c r="C77" s="9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0DD2-058E-4357-88A1-A2D40953EF0B}">
  <dimension ref="B2:H84"/>
  <sheetViews>
    <sheetView topLeftCell="B22" workbookViewId="0">
      <selection activeCell="G46" sqref="G46"/>
    </sheetView>
  </sheetViews>
  <sheetFormatPr defaultRowHeight="14.4" x14ac:dyDescent="0.3"/>
  <cols>
    <col min="2" max="2" width="61.109375" bestFit="1" customWidth="1"/>
    <col min="3" max="3" width="13.88671875" style="49" customWidth="1"/>
    <col min="4" max="5" width="12.77734375" style="49" customWidth="1"/>
    <col min="6" max="6" width="29.77734375" bestFit="1" customWidth="1"/>
    <col min="7" max="7" width="14.109375" customWidth="1"/>
    <col min="8" max="8" width="25.77734375" bestFit="1" customWidth="1"/>
  </cols>
  <sheetData>
    <row r="2" spans="2:8" x14ac:dyDescent="0.3">
      <c r="B2" s="50" t="s">
        <v>220</v>
      </c>
      <c r="C2" s="50"/>
      <c r="D2" s="50"/>
      <c r="E2" s="50"/>
      <c r="F2" s="50"/>
    </row>
    <row r="3" spans="2:8" s="49" customFormat="1" x14ac:dyDescent="0.3">
      <c r="B3" s="50" t="s">
        <v>221</v>
      </c>
      <c r="C3" s="50"/>
      <c r="D3" s="50"/>
      <c r="E3" s="50"/>
      <c r="F3" s="50"/>
    </row>
    <row r="4" spans="2:8" s="49" customFormat="1" x14ac:dyDescent="0.3">
      <c r="B4" s="50" t="s">
        <v>222</v>
      </c>
      <c r="C4" s="50"/>
      <c r="D4" s="50"/>
      <c r="E4" s="50"/>
      <c r="F4" s="84" t="s">
        <v>270</v>
      </c>
      <c r="H4" s="84" t="s">
        <v>271</v>
      </c>
    </row>
    <row r="5" spans="2:8" x14ac:dyDescent="0.3">
      <c r="C5" s="50" t="s">
        <v>226</v>
      </c>
      <c r="D5" s="50" t="s">
        <v>223</v>
      </c>
      <c r="E5" s="84" t="s">
        <v>237</v>
      </c>
      <c r="F5" s="84" t="s">
        <v>224</v>
      </c>
      <c r="G5" s="84" t="s">
        <v>225</v>
      </c>
      <c r="H5" s="84" t="s">
        <v>269</v>
      </c>
    </row>
    <row r="6" spans="2:8" x14ac:dyDescent="0.3">
      <c r="B6" s="10" t="s">
        <v>100</v>
      </c>
      <c r="C6" s="82">
        <v>7.0000000000000007E-2</v>
      </c>
      <c r="D6" s="82">
        <v>0.18</v>
      </c>
      <c r="E6" s="82"/>
      <c r="F6" s="83">
        <v>0.03</v>
      </c>
      <c r="G6" s="83">
        <v>0.01</v>
      </c>
      <c r="H6" s="83">
        <v>-0.01</v>
      </c>
    </row>
    <row r="7" spans="2:8" s="49" customFormat="1" x14ac:dyDescent="0.3">
      <c r="B7" s="32" t="s">
        <v>113</v>
      </c>
      <c r="C7" s="79">
        <v>0.05</v>
      </c>
      <c r="D7" s="79">
        <v>0.22</v>
      </c>
      <c r="E7" s="79"/>
      <c r="F7" s="80">
        <v>0.04</v>
      </c>
      <c r="H7" s="80">
        <v>-0.01</v>
      </c>
    </row>
    <row r="8" spans="2:8" s="49" customFormat="1" x14ac:dyDescent="0.3">
      <c r="B8" s="32" t="s">
        <v>114</v>
      </c>
      <c r="C8" s="79">
        <v>0.09</v>
      </c>
      <c r="D8" s="79">
        <v>0.08</v>
      </c>
      <c r="E8" s="79"/>
      <c r="F8" s="80">
        <v>-0.01</v>
      </c>
      <c r="H8" s="80">
        <v>-0.01</v>
      </c>
    </row>
    <row r="9" spans="2:8" s="49" customFormat="1" x14ac:dyDescent="0.3">
      <c r="B9" s="32" t="s">
        <v>115</v>
      </c>
      <c r="C9" s="79">
        <v>0.25</v>
      </c>
      <c r="D9" s="79">
        <v>0.21</v>
      </c>
      <c r="E9" s="79"/>
      <c r="F9" s="80">
        <v>0.17</v>
      </c>
      <c r="H9" s="80">
        <v>0.09</v>
      </c>
    </row>
    <row r="10" spans="2:8" s="49" customFormat="1" x14ac:dyDescent="0.3">
      <c r="B10" s="81" t="s">
        <v>134</v>
      </c>
      <c r="C10" s="79">
        <v>0</v>
      </c>
      <c r="D10" s="79">
        <v>7.0000000000000007E-2</v>
      </c>
      <c r="E10" s="79"/>
      <c r="F10" s="80">
        <v>0.18</v>
      </c>
      <c r="H10" s="80">
        <v>7.0000000000000007E-2</v>
      </c>
    </row>
    <row r="11" spans="2:8" x14ac:dyDescent="0.3">
      <c r="B11" s="10" t="s">
        <v>234</v>
      </c>
      <c r="C11" s="82">
        <v>0.09</v>
      </c>
      <c r="D11" s="82">
        <v>0.08</v>
      </c>
      <c r="E11" s="82"/>
      <c r="F11" s="83">
        <v>-0.04</v>
      </c>
      <c r="G11" s="50"/>
      <c r="H11" s="83">
        <v>0</v>
      </c>
    </row>
    <row r="12" spans="2:8" s="49" customFormat="1" x14ac:dyDescent="0.3">
      <c r="B12" s="32" t="s">
        <v>113</v>
      </c>
      <c r="C12" s="79">
        <v>0.06</v>
      </c>
      <c r="D12" s="79">
        <v>0.12</v>
      </c>
      <c r="E12" s="79"/>
      <c r="F12" s="80">
        <v>-0.03</v>
      </c>
      <c r="H12" s="80">
        <v>0.03</v>
      </c>
    </row>
    <row r="13" spans="2:8" s="49" customFormat="1" x14ac:dyDescent="0.3">
      <c r="B13" s="32" t="s">
        <v>114</v>
      </c>
      <c r="C13" s="79">
        <v>0.13</v>
      </c>
      <c r="D13" s="79">
        <v>0.01</v>
      </c>
      <c r="E13" s="79"/>
      <c r="F13" s="80">
        <v>-0.09</v>
      </c>
      <c r="H13" s="80">
        <v>-0.08</v>
      </c>
    </row>
    <row r="14" spans="2:8" s="49" customFormat="1" x14ac:dyDescent="0.3">
      <c r="B14" s="32" t="s">
        <v>115</v>
      </c>
      <c r="C14" s="79">
        <v>0.15</v>
      </c>
      <c r="D14" s="79">
        <v>0.05</v>
      </c>
      <c r="E14" s="79"/>
      <c r="F14" s="80">
        <v>0.3</v>
      </c>
      <c r="H14" s="80">
        <v>0.23</v>
      </c>
    </row>
    <row r="15" spans="2:8" s="49" customFormat="1" x14ac:dyDescent="0.3">
      <c r="B15" s="81" t="s">
        <v>134</v>
      </c>
      <c r="C15" s="79">
        <v>0.35</v>
      </c>
      <c r="D15" s="79">
        <v>7.0000000000000007E-2</v>
      </c>
      <c r="E15" s="79"/>
      <c r="F15" s="80">
        <v>-0.06</v>
      </c>
      <c r="H15" s="80">
        <v>-0.06</v>
      </c>
    </row>
    <row r="16" spans="2:8" x14ac:dyDescent="0.3">
      <c r="B16" s="10" t="s">
        <v>102</v>
      </c>
      <c r="C16" s="82">
        <v>-0.09</v>
      </c>
      <c r="D16" s="82">
        <v>-0.04</v>
      </c>
      <c r="E16" s="82"/>
      <c r="F16" s="83">
        <v>0.05</v>
      </c>
      <c r="G16" s="50"/>
      <c r="H16" s="83">
        <v>0.08</v>
      </c>
    </row>
    <row r="17" spans="2:8" s="49" customFormat="1" x14ac:dyDescent="0.3">
      <c r="B17" s="32" t="s">
        <v>113</v>
      </c>
      <c r="C17" s="79">
        <v>-0.06</v>
      </c>
      <c r="D17" s="79">
        <v>0</v>
      </c>
      <c r="E17" s="79"/>
      <c r="F17" s="80">
        <v>0.03</v>
      </c>
      <c r="H17" s="80">
        <v>0.06</v>
      </c>
    </row>
    <row r="18" spans="2:8" s="49" customFormat="1" x14ac:dyDescent="0.3">
      <c r="B18" s="32" t="s">
        <v>114</v>
      </c>
      <c r="C18" s="79">
        <v>-0.21</v>
      </c>
      <c r="D18" s="79">
        <v>-0.14000000000000001</v>
      </c>
      <c r="E18" s="79"/>
      <c r="F18" s="80">
        <v>0.08</v>
      </c>
      <c r="H18" s="80">
        <v>0.16</v>
      </c>
    </row>
    <row r="19" spans="2:8" s="49" customFormat="1" x14ac:dyDescent="0.3">
      <c r="B19" s="32" t="s">
        <v>115</v>
      </c>
      <c r="C19" s="79">
        <v>-0.06</v>
      </c>
      <c r="D19" s="79">
        <v>-0.24</v>
      </c>
      <c r="E19" s="79"/>
      <c r="F19" s="80">
        <v>0.05</v>
      </c>
      <c r="H19" s="80">
        <v>0.11</v>
      </c>
    </row>
    <row r="20" spans="2:8" s="49" customFormat="1" x14ac:dyDescent="0.3">
      <c r="B20" s="81" t="s">
        <v>134</v>
      </c>
      <c r="C20" s="79">
        <v>-0.27</v>
      </c>
      <c r="D20" s="79">
        <v>-0.03</v>
      </c>
      <c r="E20" s="79"/>
      <c r="F20" s="80">
        <v>0.03</v>
      </c>
      <c r="H20" s="80">
        <v>0</v>
      </c>
    </row>
    <row r="21" spans="2:8" x14ac:dyDescent="0.3">
      <c r="B21" s="10" t="s">
        <v>235</v>
      </c>
      <c r="C21" s="82">
        <v>0.11</v>
      </c>
      <c r="D21" s="82">
        <v>0.08</v>
      </c>
      <c r="E21" s="82"/>
      <c r="F21" s="83">
        <v>0.04</v>
      </c>
      <c r="H21" s="83">
        <v>0.06</v>
      </c>
    </row>
    <row r="22" spans="2:8" s="49" customFormat="1" x14ac:dyDescent="0.3">
      <c r="B22" s="32" t="s">
        <v>113</v>
      </c>
      <c r="C22" s="79">
        <v>0.12</v>
      </c>
      <c r="D22" s="79">
        <v>0.11</v>
      </c>
      <c r="E22" s="79"/>
      <c r="F22" s="80">
        <v>0.05</v>
      </c>
      <c r="H22" s="80">
        <v>0.09</v>
      </c>
    </row>
    <row r="23" spans="2:8" s="49" customFormat="1" x14ac:dyDescent="0.3">
      <c r="B23" s="32" t="s">
        <v>114</v>
      </c>
      <c r="C23" s="79">
        <v>0.08</v>
      </c>
      <c r="D23" s="79">
        <v>0.03</v>
      </c>
      <c r="E23" s="79"/>
      <c r="F23" s="80">
        <v>-0.03</v>
      </c>
      <c r="H23" s="80">
        <v>-0.04</v>
      </c>
    </row>
    <row r="24" spans="2:8" s="49" customFormat="1" x14ac:dyDescent="0.3">
      <c r="B24" s="32" t="s">
        <v>115</v>
      </c>
      <c r="C24" s="79">
        <v>0.23</v>
      </c>
      <c r="D24" s="79">
        <v>-0.04</v>
      </c>
      <c r="E24" s="79"/>
      <c r="F24" s="80">
        <v>0.19</v>
      </c>
      <c r="H24" s="80">
        <v>0.12</v>
      </c>
    </row>
    <row r="25" spans="2:8" s="49" customFormat="1" x14ac:dyDescent="0.3">
      <c r="B25" s="81" t="s">
        <v>134</v>
      </c>
      <c r="C25" s="79">
        <v>0.24</v>
      </c>
      <c r="D25" s="79">
        <v>0.02</v>
      </c>
      <c r="E25" s="79"/>
      <c r="F25" s="80">
        <v>-0.03</v>
      </c>
      <c r="H25" s="80">
        <v>-0.04</v>
      </c>
    </row>
    <row r="26" spans="2:8" x14ac:dyDescent="0.3">
      <c r="B26" s="10" t="s">
        <v>107</v>
      </c>
      <c r="C26" s="82">
        <v>3.08</v>
      </c>
      <c r="D26" s="82">
        <v>-0.43</v>
      </c>
      <c r="E26" s="82"/>
      <c r="F26" s="83">
        <v>-0.25</v>
      </c>
      <c r="G26" s="50"/>
      <c r="H26" s="83">
        <v>-0.24</v>
      </c>
    </row>
    <row r="27" spans="2:8" s="49" customFormat="1" x14ac:dyDescent="0.3">
      <c r="B27" s="81" t="s">
        <v>134</v>
      </c>
      <c r="C27" s="79">
        <v>-0.17</v>
      </c>
      <c r="D27" s="79">
        <v>-0.14000000000000001</v>
      </c>
      <c r="E27" s="79"/>
      <c r="F27" s="80">
        <v>-0.03</v>
      </c>
      <c r="H27" s="80">
        <v>0</v>
      </c>
    </row>
    <row r="28" spans="2:8" s="49" customFormat="1" x14ac:dyDescent="0.3">
      <c r="B28" s="51"/>
      <c r="C28" s="51"/>
      <c r="D28" s="51"/>
      <c r="E28" s="51"/>
    </row>
    <row r="29" spans="2:8" x14ac:dyDescent="0.3">
      <c r="B29" s="51" t="s">
        <v>104</v>
      </c>
      <c r="C29" s="82">
        <v>0.06</v>
      </c>
      <c r="D29" s="82">
        <v>0.03</v>
      </c>
      <c r="E29" s="82"/>
      <c r="F29" s="83">
        <v>-0.2</v>
      </c>
      <c r="G29" s="50"/>
      <c r="H29" s="83">
        <v>-0.14000000000000001</v>
      </c>
    </row>
    <row r="30" spans="2:8" s="49" customFormat="1" x14ac:dyDescent="0.3">
      <c r="B30" s="32" t="s">
        <v>113</v>
      </c>
      <c r="C30" s="79">
        <v>0.05</v>
      </c>
      <c r="D30" s="79">
        <v>0.03</v>
      </c>
      <c r="E30" s="79"/>
    </row>
    <row r="31" spans="2:8" s="49" customFormat="1" x14ac:dyDescent="0.3">
      <c r="B31" s="32" t="s">
        <v>114</v>
      </c>
      <c r="C31" s="79">
        <v>-0.01</v>
      </c>
      <c r="D31" s="79">
        <v>-0.13</v>
      </c>
      <c r="E31" s="79"/>
    </row>
    <row r="32" spans="2:8" s="49" customFormat="1" x14ac:dyDescent="0.3">
      <c r="B32" s="32" t="s">
        <v>115</v>
      </c>
      <c r="C32" s="79">
        <v>-0.1</v>
      </c>
      <c r="D32" s="79">
        <v>0.08</v>
      </c>
      <c r="E32" s="79"/>
    </row>
    <row r="33" spans="2:8" s="49" customFormat="1" x14ac:dyDescent="0.3">
      <c r="B33" s="32" t="s">
        <v>121</v>
      </c>
      <c r="C33" s="79">
        <v>0.43</v>
      </c>
      <c r="D33" s="79">
        <v>0.25</v>
      </c>
      <c r="E33" s="79"/>
    </row>
    <row r="34" spans="2:8" s="49" customFormat="1" x14ac:dyDescent="0.3">
      <c r="B34" s="81" t="s">
        <v>134</v>
      </c>
      <c r="C34" s="79">
        <v>0.23</v>
      </c>
      <c r="D34" s="79">
        <v>0.01</v>
      </c>
      <c r="E34" s="79"/>
      <c r="F34" s="80">
        <v>-0.4</v>
      </c>
      <c r="H34" s="80">
        <v>-0.28000000000000003</v>
      </c>
    </row>
    <row r="35" spans="2:8" x14ac:dyDescent="0.3">
      <c r="B35" s="51" t="s">
        <v>108</v>
      </c>
      <c r="C35" s="10">
        <v>-72</v>
      </c>
      <c r="D35" s="10">
        <v>27</v>
      </c>
      <c r="E35" s="10">
        <v>12</v>
      </c>
      <c r="F35" s="50">
        <v>-14</v>
      </c>
      <c r="G35" s="50"/>
      <c r="H35" s="50">
        <v>-19</v>
      </c>
    </row>
    <row r="36" spans="2:8" s="49" customFormat="1" x14ac:dyDescent="0.3">
      <c r="B36" s="81" t="s">
        <v>134</v>
      </c>
      <c r="C36" s="79">
        <v>0.02</v>
      </c>
      <c r="D36" s="79">
        <v>-0.28000000000000003</v>
      </c>
      <c r="E36" s="79"/>
      <c r="F36" s="80">
        <v>-0.26</v>
      </c>
      <c r="H36" s="80">
        <v>-0.02</v>
      </c>
    </row>
    <row r="37" spans="2:8" s="49" customFormat="1" x14ac:dyDescent="0.3">
      <c r="B37" s="81"/>
      <c r="C37" s="51"/>
      <c r="D37" s="51"/>
      <c r="E37" s="51"/>
    </row>
    <row r="38" spans="2:8" x14ac:dyDescent="0.3">
      <c r="B38" s="10" t="s">
        <v>242</v>
      </c>
      <c r="C38" s="82">
        <v>0.05</v>
      </c>
      <c r="D38" s="83">
        <v>0.1</v>
      </c>
      <c r="E38" s="83"/>
      <c r="F38" s="83">
        <v>0</v>
      </c>
      <c r="H38" s="83">
        <v>0.01</v>
      </c>
    </row>
    <row r="39" spans="2:8" s="49" customFormat="1" x14ac:dyDescent="0.3">
      <c r="B39" s="10" t="s">
        <v>243</v>
      </c>
      <c r="C39" s="85"/>
      <c r="D39" s="17"/>
      <c r="E39" s="17"/>
      <c r="F39" s="83">
        <v>-0.08</v>
      </c>
      <c r="G39" s="17"/>
      <c r="H39" s="83">
        <v>-0.02</v>
      </c>
    </row>
    <row r="40" spans="2:8" x14ac:dyDescent="0.3">
      <c r="B40" s="51" t="s">
        <v>227</v>
      </c>
      <c r="C40" s="77">
        <v>0.14699999999999999</v>
      </c>
      <c r="D40" s="77">
        <v>0.121</v>
      </c>
      <c r="E40" s="77"/>
    </row>
    <row r="41" spans="2:8" x14ac:dyDescent="0.3">
      <c r="B41" s="51" t="s">
        <v>134</v>
      </c>
      <c r="C41" s="3">
        <v>6856</v>
      </c>
      <c r="D41" s="3">
        <v>6195</v>
      </c>
      <c r="E41" s="3"/>
    </row>
    <row r="42" spans="2:8" x14ac:dyDescent="0.3">
      <c r="B42" s="51" t="s">
        <v>228</v>
      </c>
      <c r="C42" s="3">
        <v>12722</v>
      </c>
      <c r="D42" s="3">
        <v>12491</v>
      </c>
      <c r="E42" s="3"/>
    </row>
    <row r="43" spans="2:8" x14ac:dyDescent="0.3">
      <c r="B43" s="51" t="s">
        <v>229</v>
      </c>
      <c r="C43" s="3">
        <v>14425</v>
      </c>
      <c r="D43" s="3">
        <v>14982</v>
      </c>
      <c r="E43" s="3"/>
    </row>
    <row r="44" spans="2:8" x14ac:dyDescent="0.3">
      <c r="B44" s="51" t="s">
        <v>230</v>
      </c>
      <c r="C44" s="3">
        <v>-13748</v>
      </c>
      <c r="D44" s="3">
        <v>-11394</v>
      </c>
      <c r="E44" s="3"/>
    </row>
    <row r="45" spans="2:8" x14ac:dyDescent="0.3">
      <c r="B45" s="51" t="s">
        <v>231</v>
      </c>
      <c r="C45" s="9">
        <f>C42+C43+C44</f>
        <v>13399</v>
      </c>
      <c r="D45" s="9">
        <f>D42+D43+D44</f>
        <v>16079</v>
      </c>
      <c r="E45" s="9"/>
    </row>
    <row r="46" spans="2:8" s="49" customFormat="1" x14ac:dyDescent="0.3">
      <c r="B46" s="51" t="s">
        <v>233</v>
      </c>
      <c r="C46" s="54">
        <v>624</v>
      </c>
      <c r="D46" s="54">
        <v>1130</v>
      </c>
      <c r="E46" s="54"/>
    </row>
    <row r="47" spans="2:8" x14ac:dyDescent="0.3">
      <c r="B47" s="51" t="s">
        <v>232</v>
      </c>
      <c r="C47" s="78">
        <f>C41/(C45-C46)</f>
        <v>0.5366731898238748</v>
      </c>
      <c r="D47" s="78">
        <f>D41/(D45-D46)</f>
        <v>0.41440899056793096</v>
      </c>
      <c r="E47" s="78"/>
    </row>
    <row r="49" spans="2:8" x14ac:dyDescent="0.3">
      <c r="B49" s="51" t="s">
        <v>236</v>
      </c>
      <c r="E49" s="49">
        <v>1564.8</v>
      </c>
      <c r="G49">
        <v>1526.5</v>
      </c>
    </row>
    <row r="50" spans="2:8" x14ac:dyDescent="0.3">
      <c r="B50" s="91" t="s">
        <v>238</v>
      </c>
      <c r="C50" s="90"/>
      <c r="D50" s="90"/>
      <c r="E50" s="90">
        <v>0.79</v>
      </c>
      <c r="F50" s="90">
        <v>0.77</v>
      </c>
      <c r="G50" s="90">
        <v>0.77</v>
      </c>
      <c r="H50" s="90">
        <v>2.74</v>
      </c>
    </row>
    <row r="51" spans="2:8" x14ac:dyDescent="0.3">
      <c r="B51" s="51" t="s">
        <v>239</v>
      </c>
      <c r="E51" s="80">
        <v>0.16</v>
      </c>
      <c r="G51" s="77">
        <v>0.16500000000000001</v>
      </c>
    </row>
    <row r="52" spans="2:8" x14ac:dyDescent="0.3">
      <c r="B52" s="51" t="s">
        <v>240</v>
      </c>
      <c r="E52" s="49">
        <v>237</v>
      </c>
      <c r="G52">
        <v>232</v>
      </c>
    </row>
    <row r="53" spans="2:8" x14ac:dyDescent="0.3">
      <c r="B53" s="51" t="s">
        <v>241</v>
      </c>
      <c r="E53" s="49">
        <v>-7</v>
      </c>
      <c r="G53">
        <v>-52</v>
      </c>
    </row>
    <row r="56" spans="2:8" x14ac:dyDescent="0.3">
      <c r="B56" s="50" t="s">
        <v>30</v>
      </c>
    </row>
    <row r="57" spans="2:8" x14ac:dyDescent="0.3">
      <c r="B57" s="50" t="s">
        <v>31</v>
      </c>
      <c r="E57" s="87" t="s">
        <v>266</v>
      </c>
      <c r="F57" s="87" t="s">
        <v>267</v>
      </c>
      <c r="G57" s="87" t="s">
        <v>268</v>
      </c>
    </row>
    <row r="58" spans="2:8" x14ac:dyDescent="0.3">
      <c r="B58" t="s">
        <v>245</v>
      </c>
      <c r="E58" s="8">
        <v>6955</v>
      </c>
      <c r="F58" s="8">
        <v>8960</v>
      </c>
      <c r="G58" s="80">
        <f>(F58-E58)/E58</f>
        <v>0.28828181164629763</v>
      </c>
    </row>
    <row r="59" spans="2:8" x14ac:dyDescent="0.3">
      <c r="B59" t="s">
        <v>246</v>
      </c>
      <c r="E59" s="8">
        <v>3847</v>
      </c>
      <c r="F59" s="8">
        <v>1613</v>
      </c>
      <c r="G59" s="80">
        <f t="shared" ref="G59:G84" si="0">(F59-E59)/E59</f>
        <v>-0.58071224330647253</v>
      </c>
    </row>
    <row r="60" spans="2:8" x14ac:dyDescent="0.3">
      <c r="B60" t="s">
        <v>247</v>
      </c>
      <c r="E60" s="8">
        <v>4513</v>
      </c>
      <c r="F60" s="8">
        <v>4526</v>
      </c>
      <c r="G60" s="80">
        <f t="shared" si="0"/>
        <v>2.8805672501661865E-3</v>
      </c>
    </row>
    <row r="61" spans="2:8" x14ac:dyDescent="0.3">
      <c r="B61" t="s">
        <v>248</v>
      </c>
      <c r="E61" s="8">
        <v>8905</v>
      </c>
      <c r="F61" s="8">
        <v>7726</v>
      </c>
      <c r="G61" s="80">
        <f t="shared" si="0"/>
        <v>-0.13239752947782144</v>
      </c>
    </row>
    <row r="62" spans="2:8" x14ac:dyDescent="0.3">
      <c r="B62" t="s">
        <v>249</v>
      </c>
      <c r="E62" s="8">
        <v>1815</v>
      </c>
      <c r="F62" s="8">
        <v>1928</v>
      </c>
      <c r="G62" s="80">
        <f t="shared" si="0"/>
        <v>6.2258953168044077E-2</v>
      </c>
    </row>
    <row r="63" spans="2:8" x14ac:dyDescent="0.3">
      <c r="B63" s="50" t="s">
        <v>250</v>
      </c>
      <c r="E63" s="86">
        <v>26035</v>
      </c>
      <c r="F63" s="86">
        <v>24753</v>
      </c>
      <c r="G63" s="83">
        <f t="shared" si="0"/>
        <v>-4.9241405799884772E-2</v>
      </c>
    </row>
    <row r="64" spans="2:8" x14ac:dyDescent="0.3">
      <c r="B64" t="s">
        <v>251</v>
      </c>
      <c r="E64" s="8">
        <v>4939</v>
      </c>
      <c r="F64" s="8">
        <v>5082</v>
      </c>
      <c r="G64" s="80">
        <f t="shared" si="0"/>
        <v>2.8953229398663696E-2</v>
      </c>
    </row>
    <row r="65" spans="2:7" x14ac:dyDescent="0.3">
      <c r="B65" t="s">
        <v>38</v>
      </c>
      <c r="E65" s="8">
        <v>2834</v>
      </c>
      <c r="F65" s="8">
        <v>2856</v>
      </c>
      <c r="G65" s="80">
        <f t="shared" si="0"/>
        <v>7.7628793225123505E-3</v>
      </c>
    </row>
    <row r="66" spans="2:7" x14ac:dyDescent="0.3">
      <c r="B66" t="s">
        <v>252</v>
      </c>
      <c r="E66" s="8">
        <v>277</v>
      </c>
      <c r="F66" s="8">
        <v>259</v>
      </c>
      <c r="G66" s="80">
        <f t="shared" si="0"/>
        <v>-6.4981949458483748E-2</v>
      </c>
    </row>
    <row r="67" spans="2:7" x14ac:dyDescent="0.3">
      <c r="B67" t="s">
        <v>253</v>
      </c>
      <c r="E67" s="8">
        <v>281</v>
      </c>
      <c r="F67" s="8">
        <v>240</v>
      </c>
      <c r="G67" s="80">
        <f t="shared" si="0"/>
        <v>-0.14590747330960854</v>
      </c>
    </row>
    <row r="68" spans="2:7" x14ac:dyDescent="0.3">
      <c r="B68" t="s">
        <v>254</v>
      </c>
      <c r="E68" s="8">
        <v>3928</v>
      </c>
      <c r="F68" s="8">
        <v>4166</v>
      </c>
      <c r="G68" s="80">
        <f t="shared" si="0"/>
        <v>6.0590631364562116E-2</v>
      </c>
    </row>
    <row r="69" spans="2:7" x14ac:dyDescent="0.3">
      <c r="B69" s="50" t="s">
        <v>255</v>
      </c>
      <c r="C69" s="50"/>
      <c r="D69" s="50"/>
      <c r="E69" s="86">
        <v>38294</v>
      </c>
      <c r="F69" s="86">
        <v>37356</v>
      </c>
      <c r="G69" s="83">
        <f t="shared" si="0"/>
        <v>-2.4494698908445186E-2</v>
      </c>
    </row>
    <row r="70" spans="2:7" x14ac:dyDescent="0.3">
      <c r="B70" s="50" t="s">
        <v>244</v>
      </c>
      <c r="E70" s="8"/>
      <c r="F70" s="8"/>
      <c r="G70" s="80"/>
    </row>
    <row r="71" spans="2:7" x14ac:dyDescent="0.3">
      <c r="B71" s="50" t="s">
        <v>44</v>
      </c>
      <c r="E71" s="8"/>
      <c r="F71" s="8"/>
      <c r="G71" s="80"/>
    </row>
    <row r="72" spans="2:7" x14ac:dyDescent="0.3">
      <c r="B72" t="s">
        <v>45</v>
      </c>
      <c r="E72" s="8">
        <v>500</v>
      </c>
      <c r="F72" s="8">
        <v>0</v>
      </c>
      <c r="G72" s="80">
        <f t="shared" si="0"/>
        <v>-1</v>
      </c>
    </row>
    <row r="73" spans="2:7" x14ac:dyDescent="0.3">
      <c r="B73" t="s">
        <v>256</v>
      </c>
      <c r="E73" s="8">
        <v>14</v>
      </c>
      <c r="F73" s="8">
        <v>6</v>
      </c>
      <c r="G73" s="80">
        <f t="shared" si="0"/>
        <v>-0.5714285714285714</v>
      </c>
    </row>
    <row r="74" spans="2:7" x14ac:dyDescent="0.3">
      <c r="B74" t="s">
        <v>257</v>
      </c>
      <c r="E74" s="8">
        <v>2675</v>
      </c>
      <c r="F74" s="8">
        <v>2340</v>
      </c>
      <c r="G74" s="80">
        <f t="shared" si="0"/>
        <v>-0.12523364485981309</v>
      </c>
    </row>
    <row r="75" spans="2:7" x14ac:dyDescent="0.3">
      <c r="B75" t="s">
        <v>258</v>
      </c>
      <c r="E75" s="8">
        <v>435</v>
      </c>
      <c r="F75" s="8">
        <v>474</v>
      </c>
      <c r="G75" s="80">
        <f t="shared" si="0"/>
        <v>8.9655172413793102E-2</v>
      </c>
    </row>
    <row r="76" spans="2:7" x14ac:dyDescent="0.3">
      <c r="B76" t="s">
        <v>12</v>
      </c>
      <c r="E76" s="8">
        <v>5594</v>
      </c>
      <c r="F76" s="8">
        <v>5818</v>
      </c>
      <c r="G76" s="80">
        <f t="shared" si="0"/>
        <v>4.0042903110475508E-2</v>
      </c>
    </row>
    <row r="77" spans="2:7" x14ac:dyDescent="0.3">
      <c r="B77" t="s">
        <v>259</v>
      </c>
      <c r="E77" s="8">
        <v>330</v>
      </c>
      <c r="F77" s="8">
        <v>391</v>
      </c>
      <c r="G77" s="80">
        <f t="shared" si="0"/>
        <v>0.18484848484848485</v>
      </c>
    </row>
    <row r="78" spans="2:7" x14ac:dyDescent="0.3">
      <c r="B78" s="50" t="s">
        <v>260</v>
      </c>
      <c r="E78" s="8">
        <v>9548</v>
      </c>
      <c r="F78" s="8">
        <v>9029</v>
      </c>
      <c r="G78" s="80">
        <f t="shared" si="0"/>
        <v>-5.4356933389191453E-2</v>
      </c>
    </row>
    <row r="79" spans="2:7" x14ac:dyDescent="0.3">
      <c r="B79" t="s">
        <v>261</v>
      </c>
      <c r="E79" s="8">
        <v>8925</v>
      </c>
      <c r="F79" s="8">
        <v>8930</v>
      </c>
      <c r="G79" s="80">
        <f t="shared" si="0"/>
        <v>5.602240896358543E-4</v>
      </c>
    </row>
    <row r="80" spans="2:7" x14ac:dyDescent="0.3">
      <c r="B80" t="s">
        <v>262</v>
      </c>
      <c r="E80" s="8">
        <v>2692</v>
      </c>
      <c r="F80" s="8">
        <v>2691</v>
      </c>
      <c r="G80" s="80">
        <f t="shared" si="0"/>
        <v>-3.714710252600297E-4</v>
      </c>
    </row>
    <row r="81" spans="2:7" x14ac:dyDescent="0.3">
      <c r="B81" t="s">
        <v>51</v>
      </c>
      <c r="E81" s="8">
        <v>2598</v>
      </c>
      <c r="F81" s="8">
        <v>2480</v>
      </c>
      <c r="G81" s="80">
        <f t="shared" si="0"/>
        <v>-4.5419553502694381E-2</v>
      </c>
    </row>
    <row r="82" spans="2:7" x14ac:dyDescent="0.3">
      <c r="B82" t="s">
        <v>265</v>
      </c>
      <c r="E82" s="8">
        <v>0</v>
      </c>
      <c r="F82" s="8">
        <v>0</v>
      </c>
      <c r="G82" s="80"/>
    </row>
    <row r="83" spans="2:7" x14ac:dyDescent="0.3">
      <c r="B83" t="s">
        <v>263</v>
      </c>
      <c r="E83" s="8">
        <v>14531</v>
      </c>
      <c r="F83" s="8">
        <v>14226</v>
      </c>
      <c r="G83" s="80">
        <f t="shared" si="0"/>
        <v>-2.0989608423370724E-2</v>
      </c>
    </row>
    <row r="84" spans="2:7" x14ac:dyDescent="0.3">
      <c r="B84" s="50" t="s">
        <v>264</v>
      </c>
      <c r="E84" s="86">
        <v>38294</v>
      </c>
      <c r="F84" s="86">
        <v>37356</v>
      </c>
      <c r="G84" s="83">
        <f t="shared" si="0"/>
        <v>-2.4494698908445186E-2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5C4B7-698D-4884-81B0-0CBFC5447510}">
  <dimension ref="A1:E14"/>
  <sheetViews>
    <sheetView workbookViewId="0">
      <selection activeCell="M23" sqref="M23"/>
    </sheetView>
  </sheetViews>
  <sheetFormatPr defaultRowHeight="14.4" x14ac:dyDescent="0.3"/>
  <cols>
    <col min="1" max="1" width="10" customWidth="1"/>
    <col min="3" max="3" width="9.88671875" customWidth="1"/>
    <col min="4" max="4" width="24" customWidth="1"/>
    <col min="5" max="5" width="24.109375" customWidth="1"/>
  </cols>
  <sheetData>
    <row r="1" spans="1:5" x14ac:dyDescent="0.3">
      <c r="A1" t="s">
        <v>279</v>
      </c>
      <c r="B1" t="s">
        <v>280</v>
      </c>
      <c r="C1" t="s">
        <v>281</v>
      </c>
      <c r="D1" t="s">
        <v>282</v>
      </c>
      <c r="E1" t="s">
        <v>283</v>
      </c>
    </row>
    <row r="2" spans="1:5" x14ac:dyDescent="0.3">
      <c r="A2" s="89">
        <v>2015</v>
      </c>
      <c r="B2" s="96">
        <v>0.27467155514818214</v>
      </c>
    </row>
    <row r="3" spans="1:5" x14ac:dyDescent="0.3">
      <c r="A3" s="89">
        <v>2016</v>
      </c>
      <c r="B3" s="96">
        <v>0.27180851063829786</v>
      </c>
    </row>
    <row r="4" spans="1:5" x14ac:dyDescent="0.3">
      <c r="A4" s="89">
        <v>2017</v>
      </c>
      <c r="B4" s="96">
        <v>0.26721698113207548</v>
      </c>
    </row>
    <row r="5" spans="1:5" x14ac:dyDescent="0.3">
      <c r="A5" s="89">
        <v>2018</v>
      </c>
      <c r="B5" s="96">
        <v>0.64304190377651316</v>
      </c>
    </row>
    <row r="6" spans="1:5" x14ac:dyDescent="0.3">
      <c r="A6" s="89">
        <v>2019</v>
      </c>
      <c r="B6" s="96">
        <v>0.33060312732688013</v>
      </c>
    </row>
    <row r="7" spans="1:5" x14ac:dyDescent="0.3">
      <c r="A7" s="89">
        <v>2020</v>
      </c>
      <c r="B7" s="96">
        <v>0.57187869239858213</v>
      </c>
    </row>
    <row r="8" spans="1:5" x14ac:dyDescent="0.3">
      <c r="A8" s="89">
        <v>2021</v>
      </c>
      <c r="B8" s="96">
        <v>0.28601361969617606</v>
      </c>
    </row>
    <row r="9" spans="1:5" x14ac:dyDescent="0.3">
      <c r="A9" s="89">
        <v>2022</v>
      </c>
      <c r="B9" s="96">
        <v>0.30383724776711873</v>
      </c>
      <c r="C9" s="96">
        <v>0.30383724776711873</v>
      </c>
      <c r="D9" s="96">
        <v>0.30383724776711873</v>
      </c>
      <c r="E9" s="96">
        <v>0.30383724776711873</v>
      </c>
    </row>
    <row r="10" spans="1:5" x14ac:dyDescent="0.3">
      <c r="A10" s="89">
        <v>2023</v>
      </c>
      <c r="C10" s="96">
        <f>_xlfn.FORECAST.ETS(A10,$B$2:$B$9,$A$2:$A$9,1,1)</f>
        <v>0.36113009884939878</v>
      </c>
      <c r="D10" s="96">
        <f>C10-_xlfn.FORECAST.ETS.CONFINT(A10,$B$2:$B$9,$A$2:$A$9,0.95,1,1)</f>
        <v>6.7671469344611712E-2</v>
      </c>
      <c r="E10" s="96">
        <f>C10+_xlfn.FORECAST.ETS.CONFINT(A10,$B$2:$B$9,$A$2:$A$9,0.95,1,1)</f>
        <v>0.6545887283541858</v>
      </c>
    </row>
    <row r="11" spans="1:5" x14ac:dyDescent="0.3">
      <c r="A11" s="89">
        <v>2024</v>
      </c>
      <c r="C11" s="96">
        <f>_xlfn.FORECAST.ETS(A11,$B$2:$B$9,$A$2:$A$9,1,1)</f>
        <v>0.37202020677344289</v>
      </c>
      <c r="D11" s="96">
        <f>C11-_xlfn.FORECAST.ETS.CONFINT(A11,$B$2:$B$9,$A$2:$A$9,0.95,1,1)</f>
        <v>7.8560256707794318E-2</v>
      </c>
      <c r="E11" s="96">
        <f>C11+_xlfn.FORECAST.ETS.CONFINT(A11,$B$2:$B$9,$A$2:$A$9,0.95,1,1)</f>
        <v>0.66548015683909145</v>
      </c>
    </row>
    <row r="12" spans="1:5" x14ac:dyDescent="0.3">
      <c r="A12" s="89">
        <v>2025</v>
      </c>
      <c r="C12" s="96">
        <f>_xlfn.FORECAST.ETS(A12,$B$2:$B$9,$A$2:$A$9,1,1)</f>
        <v>0.38291031469748671</v>
      </c>
      <c r="D12" s="96">
        <f>C12-_xlfn.FORECAST.ETS.CONFINT(A12,$B$2:$B$9,$A$2:$A$9,0.95,1,1)</f>
        <v>8.9448016982757006E-2</v>
      </c>
      <c r="E12" s="96">
        <f>C12+_xlfn.FORECAST.ETS.CONFINT(A12,$B$2:$B$9,$A$2:$A$9,0.95,1,1)</f>
        <v>0.67637261241221647</v>
      </c>
    </row>
    <row r="13" spans="1:5" x14ac:dyDescent="0.3">
      <c r="A13" s="89">
        <v>2026</v>
      </c>
      <c r="C13" s="96">
        <f>_xlfn.FORECAST.ETS(A13,$B$2:$B$9,$A$2:$A$9,1,1)</f>
        <v>0.39380042262153075</v>
      </c>
      <c r="D13" s="96">
        <f>C13-_xlfn.FORECAST.ETS.CONFINT(A13,$B$2:$B$9,$A$2:$A$9,0.95,1,1)</f>
        <v>0.10033445674270958</v>
      </c>
      <c r="E13" s="96">
        <f>C13+_xlfn.FORECAST.ETS.CONFINT(A13,$B$2:$B$9,$A$2:$A$9,0.95,1,1)</f>
        <v>0.68726638850035193</v>
      </c>
    </row>
    <row r="14" spans="1:5" x14ac:dyDescent="0.3">
      <c r="A14" s="89">
        <v>2027</v>
      </c>
      <c r="C14" s="96">
        <f>_xlfn.FORECAST.ETS(A14,$B$2:$B$9,$A$2:$A$9,1,1)</f>
        <v>0.40469053054557458</v>
      </c>
      <c r="D14" s="96">
        <f>C14-_xlfn.FORECAST.ETS.CONFINT(A14,$B$2:$B$9,$A$2:$A$9,0.95,1,1)</f>
        <v>0.11121928259100966</v>
      </c>
      <c r="E14" s="96">
        <f>C14+_xlfn.FORECAST.ETS.CONFINT(A14,$B$2:$B$9,$A$2:$A$9,0.95,1,1)</f>
        <v>0.6981617785001395</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Three Statements</vt:lpstr>
      <vt:lpstr>Nike Reports &amp; Conference Data</vt:lpstr>
      <vt:lpstr>Forecasting Payout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Harsha</cp:lastModifiedBy>
  <dcterms:created xsi:type="dcterms:W3CDTF">2020-05-20T17:26:08Z</dcterms:created>
  <dcterms:modified xsi:type="dcterms:W3CDTF">2024-04-12T19:33:09Z</dcterms:modified>
</cp:coreProperties>
</file>