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Harsha\Desktop\Quill Capital Partners Investment Analysis Training\Mentoring Traing Program\Task 14\"/>
    </mc:Choice>
  </mc:AlternateContent>
  <xr:revisionPtr revIDLastSave="0" documentId="13_ncr:1_{49978268-D90D-4A43-B67C-AF6CF8B10469}"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4" i="4" l="1"/>
  <c r="K44" i="4"/>
  <c r="L44" i="4"/>
  <c r="M44" i="4"/>
  <c r="N44" i="4"/>
  <c r="C67" i="4"/>
  <c r="D67" i="4"/>
  <c r="E67" i="4"/>
  <c r="F67" i="4"/>
  <c r="G67" i="4"/>
  <c r="H67" i="4"/>
  <c r="I67" i="4"/>
  <c r="B67" i="4"/>
  <c r="C65" i="4"/>
  <c r="D65" i="4"/>
  <c r="E65" i="4"/>
  <c r="F65" i="4"/>
  <c r="G65" i="4"/>
  <c r="H65" i="4"/>
  <c r="I65" i="4"/>
  <c r="B65" i="4"/>
  <c r="C63" i="4"/>
  <c r="D63" i="4"/>
  <c r="E63" i="4"/>
  <c r="F63" i="4"/>
  <c r="G63" i="4"/>
  <c r="H63" i="4"/>
  <c r="I63" i="4"/>
  <c r="B63" i="4"/>
  <c r="C62" i="4"/>
  <c r="D62" i="4"/>
  <c r="E62" i="4"/>
  <c r="F62" i="4"/>
  <c r="G62" i="4"/>
  <c r="H62" i="4"/>
  <c r="I62" i="4"/>
  <c r="B62" i="4"/>
  <c r="C61" i="4"/>
  <c r="D61" i="4"/>
  <c r="E61" i="4"/>
  <c r="F61" i="4"/>
  <c r="G61" i="4"/>
  <c r="H61" i="4"/>
  <c r="I61" i="4"/>
  <c r="B61" i="4"/>
  <c r="L88" i="1"/>
  <c r="C59" i="4"/>
  <c r="D59" i="4"/>
  <c r="E59" i="4"/>
  <c r="F59" i="4"/>
  <c r="G59" i="4"/>
  <c r="G60" i="4" s="1"/>
  <c r="H59" i="4"/>
  <c r="I59" i="4"/>
  <c r="I60" i="4" s="1"/>
  <c r="B59" i="4"/>
  <c r="C57" i="4"/>
  <c r="D57" i="4"/>
  <c r="E57" i="4"/>
  <c r="F57" i="4"/>
  <c r="G57" i="4"/>
  <c r="H57" i="4"/>
  <c r="I57" i="4"/>
  <c r="B57" i="4"/>
  <c r="C56" i="4"/>
  <c r="D56" i="4"/>
  <c r="E56" i="4"/>
  <c r="F56" i="4"/>
  <c r="G56" i="4"/>
  <c r="H56" i="4"/>
  <c r="I56" i="4"/>
  <c r="B56" i="4"/>
  <c r="C52" i="4"/>
  <c r="D52" i="4"/>
  <c r="E52" i="4"/>
  <c r="F52" i="4"/>
  <c r="G52" i="4"/>
  <c r="H52" i="4"/>
  <c r="I52" i="4"/>
  <c r="B52" i="4"/>
  <c r="L25" i="1"/>
  <c r="C50" i="4"/>
  <c r="D50" i="4"/>
  <c r="E50" i="4"/>
  <c r="F50" i="4"/>
  <c r="G50" i="4"/>
  <c r="H50" i="4"/>
  <c r="I50" i="4"/>
  <c r="B50" i="4"/>
  <c r="C48" i="4"/>
  <c r="D48" i="4"/>
  <c r="E48" i="4"/>
  <c r="F48" i="4"/>
  <c r="G48" i="4"/>
  <c r="H48" i="4"/>
  <c r="I48" i="4"/>
  <c r="B48" i="4"/>
  <c r="D58" i="4" l="1"/>
  <c r="C60" i="4"/>
  <c r="J60" i="4"/>
  <c r="D60" i="4"/>
  <c r="H64" i="4"/>
  <c r="B58" i="4"/>
  <c r="B64" i="4"/>
  <c r="I58" i="4"/>
  <c r="I64" i="4"/>
  <c r="E64" i="4"/>
  <c r="F64" i="4"/>
  <c r="C58" i="4"/>
  <c r="B60" i="4"/>
  <c r="G64" i="4"/>
  <c r="H58" i="4"/>
  <c r="H60" i="4"/>
  <c r="G58" i="4"/>
  <c r="F58" i="4"/>
  <c r="D64" i="4"/>
  <c r="E58" i="4"/>
  <c r="F60" i="4"/>
  <c r="C64" i="4"/>
  <c r="E60" i="4"/>
  <c r="K60" i="4" l="1"/>
  <c r="L60" i="4" l="1"/>
  <c r="M60" i="4" l="1"/>
  <c r="N60" i="4" l="1"/>
  <c r="C40" i="4" l="1"/>
  <c r="D40" i="4"/>
  <c r="E40" i="4"/>
  <c r="F40" i="4"/>
  <c r="G40" i="4"/>
  <c r="H40" i="4"/>
  <c r="I40" i="4"/>
  <c r="C41" i="4"/>
  <c r="D41" i="4"/>
  <c r="E41" i="4"/>
  <c r="F41" i="4"/>
  <c r="G41" i="4"/>
  <c r="H41" i="4"/>
  <c r="I41" i="4"/>
  <c r="C42" i="4"/>
  <c r="D42" i="4"/>
  <c r="E42" i="4"/>
  <c r="F42" i="4"/>
  <c r="G42" i="4"/>
  <c r="H42" i="4"/>
  <c r="I42" i="4"/>
  <c r="B40" i="4"/>
  <c r="B42" i="4"/>
  <c r="B41" i="4"/>
  <c r="C38" i="4"/>
  <c r="D38" i="4"/>
  <c r="E38" i="4"/>
  <c r="F38" i="4"/>
  <c r="G38" i="4"/>
  <c r="H38" i="4"/>
  <c r="I38" i="4"/>
  <c r="B38" i="4"/>
  <c r="B37" i="4"/>
  <c r="C37" i="4"/>
  <c r="D37" i="4"/>
  <c r="E37" i="4"/>
  <c r="F37" i="4"/>
  <c r="G37" i="4"/>
  <c r="H37" i="4"/>
  <c r="I37" i="4"/>
  <c r="C36" i="4"/>
  <c r="D36" i="4"/>
  <c r="E36" i="4"/>
  <c r="F36" i="4"/>
  <c r="G36" i="4"/>
  <c r="H36" i="4"/>
  <c r="I36" i="4"/>
  <c r="J36" i="4" s="1"/>
  <c r="B36" i="4"/>
  <c r="C35" i="4"/>
  <c r="D35" i="4"/>
  <c r="E35" i="4"/>
  <c r="T35" i="4" s="1"/>
  <c r="F35" i="4"/>
  <c r="U35" i="4" s="1"/>
  <c r="G35" i="4"/>
  <c r="V35" i="4" s="1"/>
  <c r="H35" i="4"/>
  <c r="W35" i="4" s="1"/>
  <c r="I35" i="4"/>
  <c r="B35" i="4"/>
  <c r="C33" i="4"/>
  <c r="D33" i="4"/>
  <c r="E33" i="4"/>
  <c r="F33" i="4"/>
  <c r="G33" i="4"/>
  <c r="H33" i="4"/>
  <c r="I33" i="4"/>
  <c r="C34" i="4"/>
  <c r="D34" i="4"/>
  <c r="E34" i="4"/>
  <c r="F34" i="4"/>
  <c r="G34" i="4"/>
  <c r="H34" i="4"/>
  <c r="I34" i="4"/>
  <c r="J34" i="4" s="1"/>
  <c r="K34" i="4" s="1"/>
  <c r="L34" i="4" s="1"/>
  <c r="M34" i="4" s="1"/>
  <c r="N34" i="4" s="1"/>
  <c r="B34" i="4"/>
  <c r="B33" i="4"/>
  <c r="S35" i="4" l="1"/>
  <c r="X35" i="4"/>
  <c r="R35" i="4"/>
  <c r="P35" i="4" s="1"/>
  <c r="J62" i="4"/>
  <c r="K36" i="4"/>
  <c r="K62" i="4"/>
  <c r="G39" i="4"/>
  <c r="H32" i="4"/>
  <c r="C32" i="4"/>
  <c r="E32" i="4"/>
  <c r="F32" i="4"/>
  <c r="H39" i="4"/>
  <c r="G32" i="4"/>
  <c r="D39" i="4"/>
  <c r="I39" i="4"/>
  <c r="I32" i="4"/>
  <c r="C39" i="4"/>
  <c r="F39" i="4"/>
  <c r="D32" i="4"/>
  <c r="E39" i="4"/>
  <c r="B39" i="4"/>
  <c r="H43" i="4" l="1"/>
  <c r="L36" i="4"/>
  <c r="L62" i="4"/>
  <c r="G43" i="4"/>
  <c r="I43" i="4"/>
  <c r="E43" i="4"/>
  <c r="C43" i="4"/>
  <c r="F43" i="4"/>
  <c r="D43" i="4"/>
  <c r="M36" i="4" l="1"/>
  <c r="M62" i="4"/>
  <c r="N36" i="4" l="1"/>
  <c r="N62" i="4"/>
  <c r="B32" i="4" l="1"/>
  <c r="C30" i="4"/>
  <c r="D30" i="4"/>
  <c r="S30" i="4" s="1"/>
  <c r="E30" i="4"/>
  <c r="T30" i="4" s="1"/>
  <c r="F30" i="4"/>
  <c r="U30" i="4" s="1"/>
  <c r="G30" i="4"/>
  <c r="V30" i="4" s="1"/>
  <c r="H30" i="4"/>
  <c r="W30" i="4" s="1"/>
  <c r="I30" i="4"/>
  <c r="B30" i="4"/>
  <c r="C29" i="4"/>
  <c r="D29" i="4"/>
  <c r="E29" i="4"/>
  <c r="F29" i="4"/>
  <c r="G29" i="4"/>
  <c r="H29" i="4"/>
  <c r="I29" i="4"/>
  <c r="B29" i="4"/>
  <c r="C28" i="4"/>
  <c r="D28" i="4"/>
  <c r="E28" i="4"/>
  <c r="F28" i="4"/>
  <c r="G28" i="4"/>
  <c r="H28" i="4"/>
  <c r="I28" i="4"/>
  <c r="B28" i="4"/>
  <c r="C27" i="4"/>
  <c r="D27" i="4"/>
  <c r="E27" i="4"/>
  <c r="F27" i="4"/>
  <c r="G27" i="4"/>
  <c r="H27" i="4"/>
  <c r="I27" i="4"/>
  <c r="B27" i="4"/>
  <c r="C26" i="4"/>
  <c r="R26" i="4" s="1"/>
  <c r="D26" i="4"/>
  <c r="E26" i="4"/>
  <c r="T26" i="4" s="1"/>
  <c r="F26" i="4"/>
  <c r="U26" i="4" s="1"/>
  <c r="G26" i="4"/>
  <c r="V26" i="4" s="1"/>
  <c r="H26" i="4"/>
  <c r="W26" i="4" s="1"/>
  <c r="I26" i="4"/>
  <c r="B26" i="4"/>
  <c r="C25" i="4"/>
  <c r="R25" i="4" s="1"/>
  <c r="D25" i="4"/>
  <c r="S25" i="4" s="1"/>
  <c r="E25" i="4"/>
  <c r="T25" i="4" s="1"/>
  <c r="F25" i="4"/>
  <c r="U25" i="4" s="1"/>
  <c r="G25" i="4"/>
  <c r="H25" i="4"/>
  <c r="I25" i="4"/>
  <c r="B25" i="4"/>
  <c r="C23" i="4"/>
  <c r="D23" i="4"/>
  <c r="E23" i="4"/>
  <c r="F23" i="4"/>
  <c r="G23" i="4"/>
  <c r="H23" i="4"/>
  <c r="I23" i="4"/>
  <c r="X22" i="4" s="1"/>
  <c r="B23" i="4"/>
  <c r="C22" i="4"/>
  <c r="D22" i="4"/>
  <c r="E22" i="4"/>
  <c r="F22" i="4"/>
  <c r="G22" i="4"/>
  <c r="H22" i="4"/>
  <c r="I22" i="4"/>
  <c r="B22" i="4"/>
  <c r="C21" i="4"/>
  <c r="D21" i="4"/>
  <c r="E21" i="4"/>
  <c r="F21" i="4"/>
  <c r="F70" i="4" s="1"/>
  <c r="G21" i="4"/>
  <c r="G70" i="4" s="1"/>
  <c r="H21" i="4"/>
  <c r="I21" i="4"/>
  <c r="B21" i="4"/>
  <c r="L20" i="1"/>
  <c r="C17" i="4"/>
  <c r="D17" i="4"/>
  <c r="D18" i="4" s="1"/>
  <c r="E17" i="4"/>
  <c r="F17" i="4"/>
  <c r="G17" i="4"/>
  <c r="H17" i="4"/>
  <c r="I17" i="4"/>
  <c r="B17" i="4"/>
  <c r="B18" i="4" s="1"/>
  <c r="C16" i="4"/>
  <c r="D16" i="4"/>
  <c r="E16" i="4"/>
  <c r="F16" i="4"/>
  <c r="G16" i="4"/>
  <c r="H16" i="4"/>
  <c r="I16" i="4"/>
  <c r="B16" i="4"/>
  <c r="C15" i="4"/>
  <c r="D15" i="4"/>
  <c r="E15" i="4"/>
  <c r="F15" i="4"/>
  <c r="G15" i="4"/>
  <c r="H15" i="4"/>
  <c r="I15" i="4"/>
  <c r="B15" i="4"/>
  <c r="C12" i="4"/>
  <c r="C13" i="4" s="1"/>
  <c r="D12" i="4"/>
  <c r="E12" i="4"/>
  <c r="F12" i="4"/>
  <c r="F13" i="4" s="1"/>
  <c r="U13" i="4" s="1"/>
  <c r="G12" i="4"/>
  <c r="H12" i="4"/>
  <c r="I12" i="4"/>
  <c r="B12" i="4"/>
  <c r="B13" i="4" s="1"/>
  <c r="C11" i="4"/>
  <c r="D11" i="4"/>
  <c r="E11" i="4"/>
  <c r="F11" i="4"/>
  <c r="G11" i="4"/>
  <c r="H11" i="4"/>
  <c r="I11" i="4"/>
  <c r="B11" i="4"/>
  <c r="C10" i="4"/>
  <c r="D10" i="4"/>
  <c r="E10" i="4"/>
  <c r="F10" i="4"/>
  <c r="G10" i="4"/>
  <c r="H10" i="4"/>
  <c r="I10" i="4"/>
  <c r="B10" i="4"/>
  <c r="L10" i="1"/>
  <c r="V25" i="4" l="1"/>
  <c r="R30" i="4"/>
  <c r="X30" i="4"/>
  <c r="P30" i="4" s="1"/>
  <c r="J30" i="4" s="1"/>
  <c r="K30" i="4" s="1"/>
  <c r="L30" i="4" s="1"/>
  <c r="M30" i="4" s="1"/>
  <c r="N30" i="4" s="1"/>
  <c r="H18" i="4"/>
  <c r="X26" i="4"/>
  <c r="X25" i="4"/>
  <c r="P25" i="4" s="1"/>
  <c r="W25" i="4"/>
  <c r="S26" i="4"/>
  <c r="P26" i="4" s="1"/>
  <c r="J26" i="4" s="1"/>
  <c r="K26" i="4" s="1"/>
  <c r="L26" i="4" s="1"/>
  <c r="M26" i="4" s="1"/>
  <c r="N26" i="4" s="1"/>
  <c r="I18" i="4"/>
  <c r="T21" i="4"/>
  <c r="E70" i="4"/>
  <c r="S21" i="4"/>
  <c r="D70" i="4"/>
  <c r="R21" i="4"/>
  <c r="C70" i="4"/>
  <c r="B43" i="4"/>
  <c r="B70" i="4"/>
  <c r="X21" i="4"/>
  <c r="I70" i="4"/>
  <c r="H70" i="4"/>
  <c r="C51" i="4"/>
  <c r="B51" i="4"/>
  <c r="W22" i="4"/>
  <c r="I51" i="4"/>
  <c r="V22" i="4"/>
  <c r="H51" i="4"/>
  <c r="T22" i="4"/>
  <c r="F51" i="4"/>
  <c r="U22" i="4"/>
  <c r="G51" i="4"/>
  <c r="S22" i="4"/>
  <c r="E51" i="4"/>
  <c r="D51" i="4"/>
  <c r="R22" i="4"/>
  <c r="F31" i="4"/>
  <c r="F44" i="4" s="1"/>
  <c r="U21" i="4"/>
  <c r="W21" i="4"/>
  <c r="I13" i="4"/>
  <c r="F18" i="4"/>
  <c r="B14" i="4"/>
  <c r="G14" i="4"/>
  <c r="E14" i="4"/>
  <c r="H14" i="4"/>
  <c r="C19" i="4"/>
  <c r="D14" i="4"/>
  <c r="C14" i="4"/>
  <c r="G13" i="4"/>
  <c r="V13" i="4" s="1"/>
  <c r="G31" i="4"/>
  <c r="G44" i="4" s="1"/>
  <c r="C31" i="4"/>
  <c r="C44" i="4" s="1"/>
  <c r="E13" i="4"/>
  <c r="D13" i="4"/>
  <c r="G18" i="4"/>
  <c r="D31" i="4"/>
  <c r="D44" i="4" s="1"/>
  <c r="F14" i="4"/>
  <c r="E18" i="4"/>
  <c r="B31" i="4"/>
  <c r="H31" i="4"/>
  <c r="H44" i="4" s="1"/>
  <c r="I31" i="4"/>
  <c r="I44" i="4" s="1"/>
  <c r="E31" i="4"/>
  <c r="E44" i="4" s="1"/>
  <c r="I19" i="4"/>
  <c r="X19" i="4" s="1"/>
  <c r="H19" i="4"/>
  <c r="W19" i="4" s="1"/>
  <c r="G19" i="4"/>
  <c r="V19" i="4" s="1"/>
  <c r="H13" i="4"/>
  <c r="W13" i="4" s="1"/>
  <c r="B19" i="4"/>
  <c r="F19" i="4"/>
  <c r="U19" i="4" s="1"/>
  <c r="I14" i="4"/>
  <c r="C18" i="4"/>
  <c r="E19" i="4"/>
  <c r="D19" i="4"/>
  <c r="K176" i="1"/>
  <c r="K172" i="1"/>
  <c r="K175" i="1" s="1"/>
  <c r="K165" i="1"/>
  <c r="K164" i="1"/>
  <c r="K161" i="1"/>
  <c r="K154" i="1"/>
  <c r="K143" i="1"/>
  <c r="K150" i="1"/>
  <c r="K153" i="1" s="1"/>
  <c r="K142" i="1"/>
  <c r="K139" i="1"/>
  <c r="K125" i="1"/>
  <c r="K119" i="1"/>
  <c r="K115" i="1"/>
  <c r="K124" i="1" s="1"/>
  <c r="K131" i="1" s="1"/>
  <c r="K111" i="1"/>
  <c r="K107" i="1"/>
  <c r="K97" i="1"/>
  <c r="K96" i="1"/>
  <c r="K92" i="1"/>
  <c r="K83" i="1"/>
  <c r="K76" i="1"/>
  <c r="K60" i="1"/>
  <c r="K59" i="1"/>
  <c r="K45" i="1"/>
  <c r="K58" i="1"/>
  <c r="K36" i="1"/>
  <c r="K30" i="1"/>
  <c r="K7" i="1"/>
  <c r="K4" i="1"/>
  <c r="K12" i="1" s="1"/>
  <c r="K20" i="1" s="1"/>
  <c r="J118" i="3"/>
  <c r="K118" i="3" s="1"/>
  <c r="L118" i="3" s="1"/>
  <c r="M118" i="3" s="1"/>
  <c r="B219" i="3"/>
  <c r="C218" i="3"/>
  <c r="D218" i="3"/>
  <c r="E218" i="3"/>
  <c r="F218" i="3"/>
  <c r="F219" i="3" s="1"/>
  <c r="G218" i="3"/>
  <c r="H218" i="3"/>
  <c r="I218" i="3"/>
  <c r="B218" i="3"/>
  <c r="B216" i="3"/>
  <c r="C215" i="3"/>
  <c r="D215" i="3"/>
  <c r="E215" i="3"/>
  <c r="F216" i="3" s="1"/>
  <c r="F215" i="3"/>
  <c r="G215" i="3"/>
  <c r="H215" i="3"/>
  <c r="I215" i="3"/>
  <c r="B215" i="3"/>
  <c r="B213" i="3"/>
  <c r="C212" i="3"/>
  <c r="D212" i="3"/>
  <c r="D214" i="3" s="1"/>
  <c r="E212" i="3"/>
  <c r="F212" i="3"/>
  <c r="F213" i="3" s="1"/>
  <c r="G212" i="3"/>
  <c r="G213" i="3" s="1"/>
  <c r="H212" i="3"/>
  <c r="H213" i="3" s="1"/>
  <c r="I212" i="3"/>
  <c r="B212" i="3"/>
  <c r="C208" i="3"/>
  <c r="D208" i="3"/>
  <c r="E208" i="3"/>
  <c r="E210" i="3" s="1"/>
  <c r="F208" i="3"/>
  <c r="G208" i="3"/>
  <c r="G210" i="3" s="1"/>
  <c r="H208" i="3"/>
  <c r="I208" i="3"/>
  <c r="I205" i="3" s="1"/>
  <c r="I207" i="3" s="1"/>
  <c r="J207" i="3" s="1"/>
  <c r="K207" i="3" s="1"/>
  <c r="L207" i="3" s="1"/>
  <c r="M207" i="3" s="1"/>
  <c r="N207" i="3" s="1"/>
  <c r="B208" i="3"/>
  <c r="B210" i="3" s="1"/>
  <c r="C203" i="3"/>
  <c r="D203" i="3"/>
  <c r="E203" i="3"/>
  <c r="F203" i="3"/>
  <c r="G203" i="3"/>
  <c r="H203" i="3"/>
  <c r="I203" i="3"/>
  <c r="B203" i="3"/>
  <c r="B202" i="3"/>
  <c r="B204" i="3" s="1"/>
  <c r="C201" i="3"/>
  <c r="C210" i="3" s="1"/>
  <c r="D201" i="3"/>
  <c r="E201" i="3"/>
  <c r="F201" i="3"/>
  <c r="F202" i="3" s="1"/>
  <c r="G201" i="3"/>
  <c r="H201" i="3"/>
  <c r="I201" i="3"/>
  <c r="B201" i="3"/>
  <c r="B198" i="3"/>
  <c r="C197" i="3"/>
  <c r="C198" i="3" s="1"/>
  <c r="D197" i="3"/>
  <c r="E197" i="3"/>
  <c r="E198" i="3" s="1"/>
  <c r="F197" i="3"/>
  <c r="F198" i="3" s="1"/>
  <c r="G197" i="3"/>
  <c r="H197" i="3"/>
  <c r="I197" i="3"/>
  <c r="B197" i="3"/>
  <c r="B195" i="3"/>
  <c r="C194" i="3"/>
  <c r="D194" i="3"/>
  <c r="E194" i="3"/>
  <c r="E195" i="3" s="1"/>
  <c r="F194" i="3"/>
  <c r="G194" i="3"/>
  <c r="H194" i="3"/>
  <c r="I194" i="3"/>
  <c r="B194" i="3"/>
  <c r="C191" i="3"/>
  <c r="D191" i="3"/>
  <c r="D184" i="3" s="1"/>
  <c r="E191" i="3"/>
  <c r="E192" i="3" s="1"/>
  <c r="F191" i="3"/>
  <c r="G192" i="3" s="1"/>
  <c r="G191" i="3"/>
  <c r="H191" i="3"/>
  <c r="H184" i="3" s="1"/>
  <c r="I191" i="3"/>
  <c r="I184" i="3" s="1"/>
  <c r="I185" i="3" s="1"/>
  <c r="B191" i="3"/>
  <c r="B188" i="3"/>
  <c r="C187" i="3"/>
  <c r="D188" i="3" s="1"/>
  <c r="D187" i="3"/>
  <c r="E187" i="3"/>
  <c r="F187" i="3"/>
  <c r="G187" i="3"/>
  <c r="H187" i="3"/>
  <c r="I187" i="3"/>
  <c r="B187" i="3"/>
  <c r="C166" i="3"/>
  <c r="D166" i="3"/>
  <c r="E166" i="3"/>
  <c r="F166" i="3"/>
  <c r="C182" i="3"/>
  <c r="D182" i="3"/>
  <c r="E182" i="3"/>
  <c r="F182" i="3"/>
  <c r="G182" i="3"/>
  <c r="H182" i="3"/>
  <c r="I182" i="3"/>
  <c r="J182" i="3" s="1"/>
  <c r="B182" i="3"/>
  <c r="C180" i="3"/>
  <c r="C181" i="3" s="1"/>
  <c r="C183" i="3" s="1"/>
  <c r="D180" i="3"/>
  <c r="D181" i="3" s="1"/>
  <c r="D183" i="3" s="1"/>
  <c r="E180" i="3"/>
  <c r="E181" i="3" s="1"/>
  <c r="E183" i="3" s="1"/>
  <c r="F180" i="3"/>
  <c r="F181" i="3" s="1"/>
  <c r="F183" i="3" s="1"/>
  <c r="G180" i="3"/>
  <c r="H180" i="3"/>
  <c r="I180" i="3"/>
  <c r="B180" i="3"/>
  <c r="B181" i="3" s="1"/>
  <c r="B183" i="3" s="1"/>
  <c r="C178" i="3"/>
  <c r="D178" i="3"/>
  <c r="E178" i="3"/>
  <c r="F178" i="3"/>
  <c r="G178" i="3"/>
  <c r="H178" i="3"/>
  <c r="I178" i="3"/>
  <c r="J178" i="3" s="1"/>
  <c r="B178" i="3"/>
  <c r="C176" i="3"/>
  <c r="C177" i="3" s="1"/>
  <c r="C179" i="3" s="1"/>
  <c r="D176" i="3"/>
  <c r="D177" i="3" s="1"/>
  <c r="D179" i="3" s="1"/>
  <c r="E176" i="3"/>
  <c r="E177" i="3" s="1"/>
  <c r="E179" i="3" s="1"/>
  <c r="F176" i="3"/>
  <c r="G177" i="3" s="1"/>
  <c r="G176" i="3"/>
  <c r="H176" i="3"/>
  <c r="I176" i="3"/>
  <c r="I177" i="3" s="1"/>
  <c r="I179" i="3" s="1"/>
  <c r="B176" i="3"/>
  <c r="B177" i="3" s="1"/>
  <c r="B179" i="3" s="1"/>
  <c r="C174" i="3"/>
  <c r="D174" i="3"/>
  <c r="E174" i="3"/>
  <c r="F174" i="3"/>
  <c r="G174" i="3"/>
  <c r="H174" i="3"/>
  <c r="I174" i="3"/>
  <c r="J174" i="3" s="1"/>
  <c r="B174" i="3"/>
  <c r="C172" i="3"/>
  <c r="C173" i="3" s="1"/>
  <c r="C175" i="3" s="1"/>
  <c r="D172" i="3"/>
  <c r="E172" i="3"/>
  <c r="E173" i="3" s="1"/>
  <c r="E175" i="3" s="1"/>
  <c r="F172" i="3"/>
  <c r="G172" i="3"/>
  <c r="H172" i="3"/>
  <c r="I172" i="3"/>
  <c r="I173" i="3" s="1"/>
  <c r="I175" i="3" s="1"/>
  <c r="B172" i="3"/>
  <c r="B173" i="3" s="1"/>
  <c r="B175" i="3" s="1"/>
  <c r="C170" i="3"/>
  <c r="D170" i="3"/>
  <c r="E170" i="3"/>
  <c r="F170" i="3"/>
  <c r="G170" i="3"/>
  <c r="H170" i="3"/>
  <c r="I170" i="3"/>
  <c r="J170" i="3" s="1"/>
  <c r="B170" i="3"/>
  <c r="C168" i="3"/>
  <c r="C169" i="3" s="1"/>
  <c r="C171" i="3" s="1"/>
  <c r="D168" i="3"/>
  <c r="D169" i="3" s="1"/>
  <c r="D171" i="3" s="1"/>
  <c r="E168" i="3"/>
  <c r="E169" i="3" s="1"/>
  <c r="E171" i="3" s="1"/>
  <c r="F168" i="3"/>
  <c r="F169" i="3" s="1"/>
  <c r="G168" i="3"/>
  <c r="G166" i="3" s="1"/>
  <c r="H168" i="3"/>
  <c r="H166" i="3" s="1"/>
  <c r="I168" i="3"/>
  <c r="I166" i="3" s="1"/>
  <c r="B168" i="3"/>
  <c r="B169" i="3" s="1"/>
  <c r="B171" i="3" s="1"/>
  <c r="C162" i="3"/>
  <c r="D162" i="3"/>
  <c r="E162" i="3"/>
  <c r="F162" i="3"/>
  <c r="G162" i="3"/>
  <c r="H162" i="3"/>
  <c r="I162" i="3"/>
  <c r="I164" i="3" s="1"/>
  <c r="J164" i="3" s="1"/>
  <c r="B162" i="3"/>
  <c r="B155" i="3" s="1"/>
  <c r="B160" i="3"/>
  <c r="C159" i="3"/>
  <c r="D159" i="3"/>
  <c r="E160" i="3" s="1"/>
  <c r="E159" i="3"/>
  <c r="F159" i="3"/>
  <c r="F160" i="3" s="1"/>
  <c r="G159" i="3"/>
  <c r="G160" i="3" s="1"/>
  <c r="H159" i="3"/>
  <c r="I159" i="3"/>
  <c r="B159" i="3"/>
  <c r="B157" i="3"/>
  <c r="C156" i="3"/>
  <c r="D156" i="3"/>
  <c r="D157" i="3" s="1"/>
  <c r="E156" i="3"/>
  <c r="F157" i="3" s="1"/>
  <c r="F156" i="3"/>
  <c r="G156" i="3"/>
  <c r="H157" i="3" s="1"/>
  <c r="H156" i="3"/>
  <c r="I156" i="3"/>
  <c r="B156" i="3"/>
  <c r="B153" i="3"/>
  <c r="C152" i="3"/>
  <c r="D152" i="3"/>
  <c r="E152" i="3"/>
  <c r="F152" i="3"/>
  <c r="G152" i="3"/>
  <c r="G155" i="3" s="1"/>
  <c r="H152" i="3"/>
  <c r="I153" i="3" s="1"/>
  <c r="I152" i="3"/>
  <c r="B152" i="3"/>
  <c r="C147" i="3"/>
  <c r="D147" i="3"/>
  <c r="E147" i="3"/>
  <c r="F147" i="3"/>
  <c r="G147" i="3"/>
  <c r="H147" i="3"/>
  <c r="I147" i="3"/>
  <c r="B147" i="3"/>
  <c r="B146" i="3"/>
  <c r="B148" i="3" s="1"/>
  <c r="C145" i="3"/>
  <c r="D145" i="3"/>
  <c r="E145" i="3"/>
  <c r="F145" i="3"/>
  <c r="G145" i="3"/>
  <c r="H145" i="3"/>
  <c r="I145" i="3"/>
  <c r="I158" i="3" s="1"/>
  <c r="B145" i="3"/>
  <c r="B142" i="3"/>
  <c r="C141" i="3"/>
  <c r="C142" i="3" s="1"/>
  <c r="D141" i="3"/>
  <c r="D142" i="3" s="1"/>
  <c r="E141" i="3"/>
  <c r="F141" i="3"/>
  <c r="G141" i="3"/>
  <c r="H141" i="3"/>
  <c r="I141" i="3"/>
  <c r="B141" i="3"/>
  <c r="B139" i="3"/>
  <c r="C138" i="3"/>
  <c r="D138" i="3"/>
  <c r="E139" i="3" s="1"/>
  <c r="E138" i="3"/>
  <c r="F138" i="3"/>
  <c r="F139" i="3" s="1"/>
  <c r="G138" i="3"/>
  <c r="H138" i="3"/>
  <c r="I139" i="3" s="1"/>
  <c r="I138" i="3"/>
  <c r="B138" i="3"/>
  <c r="C135" i="3"/>
  <c r="D135" i="3"/>
  <c r="E135" i="3"/>
  <c r="E136" i="3" s="1"/>
  <c r="F135" i="3"/>
  <c r="G135" i="3"/>
  <c r="H135" i="3"/>
  <c r="I135" i="3"/>
  <c r="B135" i="3"/>
  <c r="B136" i="3" s="1"/>
  <c r="B132" i="3"/>
  <c r="C131" i="3"/>
  <c r="D131" i="3"/>
  <c r="E131" i="3"/>
  <c r="F131" i="3"/>
  <c r="G131" i="3"/>
  <c r="G134" i="3" s="1"/>
  <c r="H131" i="3"/>
  <c r="I131" i="3"/>
  <c r="I134" i="3" s="1"/>
  <c r="J134" i="3" s="1"/>
  <c r="K134" i="3" s="1"/>
  <c r="B131" i="3"/>
  <c r="B134" i="3" s="1"/>
  <c r="B127" i="3"/>
  <c r="C126" i="3"/>
  <c r="D126" i="3"/>
  <c r="E126" i="3"/>
  <c r="F126" i="3"/>
  <c r="G126" i="3"/>
  <c r="H126" i="3"/>
  <c r="I126" i="3"/>
  <c r="J126" i="3" s="1"/>
  <c r="B126" i="3"/>
  <c r="B125" i="3"/>
  <c r="C124" i="3"/>
  <c r="C125" i="3" s="1"/>
  <c r="D124" i="3"/>
  <c r="E124" i="3"/>
  <c r="E125" i="3" s="1"/>
  <c r="E127" i="3" s="1"/>
  <c r="F124" i="3"/>
  <c r="G124" i="3"/>
  <c r="H124" i="3"/>
  <c r="I125" i="3" s="1"/>
  <c r="I127" i="3" s="1"/>
  <c r="I124" i="3"/>
  <c r="B124" i="3"/>
  <c r="C122" i="3"/>
  <c r="D122" i="3"/>
  <c r="E122" i="3"/>
  <c r="F122" i="3"/>
  <c r="G122" i="3"/>
  <c r="H122" i="3"/>
  <c r="I122" i="3"/>
  <c r="J122" i="3" s="1"/>
  <c r="B122" i="3"/>
  <c r="B121" i="3"/>
  <c r="B123" i="3" s="1"/>
  <c r="C120" i="3"/>
  <c r="D120" i="3"/>
  <c r="E120" i="3"/>
  <c r="F120" i="3"/>
  <c r="F121" i="3" s="1"/>
  <c r="G120" i="3"/>
  <c r="H120" i="3"/>
  <c r="I120" i="3"/>
  <c r="B120" i="3"/>
  <c r="B119" i="3"/>
  <c r="C118" i="3"/>
  <c r="D118" i="3"/>
  <c r="E118" i="3"/>
  <c r="F118" i="3"/>
  <c r="G118" i="3"/>
  <c r="H118" i="3"/>
  <c r="I118" i="3"/>
  <c r="B118" i="3"/>
  <c r="B117" i="3"/>
  <c r="C116" i="3"/>
  <c r="C117" i="3" s="1"/>
  <c r="C119" i="3" s="1"/>
  <c r="D116" i="3"/>
  <c r="D117" i="3" s="1"/>
  <c r="D119" i="3" s="1"/>
  <c r="E116" i="3"/>
  <c r="F116" i="3"/>
  <c r="F114" i="3" s="1"/>
  <c r="G116" i="3"/>
  <c r="H116" i="3"/>
  <c r="H114" i="3" s="1"/>
  <c r="H143" i="3" s="1"/>
  <c r="I116" i="3"/>
  <c r="B116" i="3"/>
  <c r="C110" i="3"/>
  <c r="D110" i="3"/>
  <c r="E110" i="3"/>
  <c r="F110" i="3"/>
  <c r="G110" i="3"/>
  <c r="H110" i="3"/>
  <c r="I110" i="3"/>
  <c r="B110" i="3"/>
  <c r="B111" i="3" s="1"/>
  <c r="B108" i="3"/>
  <c r="C107" i="3"/>
  <c r="D107" i="3"/>
  <c r="D108" i="3" s="1"/>
  <c r="E107" i="3"/>
  <c r="F107" i="3"/>
  <c r="G107" i="3"/>
  <c r="H107" i="3"/>
  <c r="I107" i="3"/>
  <c r="B107" i="3"/>
  <c r="C104" i="3"/>
  <c r="D104" i="3"/>
  <c r="D105" i="3" s="1"/>
  <c r="E104" i="3"/>
  <c r="F104" i="3"/>
  <c r="F105" i="3" s="1"/>
  <c r="G104" i="3"/>
  <c r="H104" i="3"/>
  <c r="H97" i="3" s="1"/>
  <c r="I104" i="3"/>
  <c r="I97" i="3" s="1"/>
  <c r="B104" i="3"/>
  <c r="B105" i="3" s="1"/>
  <c r="C100" i="3"/>
  <c r="D100" i="3"/>
  <c r="E100" i="3"/>
  <c r="F100" i="3"/>
  <c r="G100" i="3"/>
  <c r="G101" i="3" s="1"/>
  <c r="H100" i="3"/>
  <c r="I100" i="3"/>
  <c r="B100" i="3"/>
  <c r="B101" i="3" s="1"/>
  <c r="C95" i="3"/>
  <c r="D95" i="3"/>
  <c r="E95" i="3"/>
  <c r="F95" i="3"/>
  <c r="G95" i="3"/>
  <c r="H95" i="3"/>
  <c r="I95" i="3"/>
  <c r="J95" i="3" s="1"/>
  <c r="B95" i="3"/>
  <c r="B94" i="3"/>
  <c r="B96" i="3" s="1"/>
  <c r="C93" i="3"/>
  <c r="C94" i="3" s="1"/>
  <c r="D93" i="3"/>
  <c r="E93" i="3"/>
  <c r="F93" i="3"/>
  <c r="G93" i="3"/>
  <c r="H94" i="3" s="1"/>
  <c r="H96" i="3" s="1"/>
  <c r="H93" i="3"/>
  <c r="I93" i="3"/>
  <c r="B93" i="3"/>
  <c r="C91" i="3"/>
  <c r="D91" i="3"/>
  <c r="E91" i="3"/>
  <c r="F91" i="3"/>
  <c r="G91" i="3"/>
  <c r="H91" i="3"/>
  <c r="I91" i="3"/>
  <c r="J91" i="3" s="1"/>
  <c r="B91" i="3"/>
  <c r="C89" i="3"/>
  <c r="D89" i="3"/>
  <c r="E89" i="3"/>
  <c r="F89" i="3"/>
  <c r="G89" i="3"/>
  <c r="H89" i="3"/>
  <c r="I89" i="3"/>
  <c r="B89" i="3"/>
  <c r="B90" i="3" s="1"/>
  <c r="B92" i="3" s="1"/>
  <c r="C87" i="3"/>
  <c r="D87" i="3"/>
  <c r="E87" i="3"/>
  <c r="F87" i="3"/>
  <c r="G87" i="3"/>
  <c r="H87" i="3"/>
  <c r="I87" i="3"/>
  <c r="J87" i="3" s="1"/>
  <c r="B87" i="3"/>
  <c r="B86" i="3"/>
  <c r="B88" i="3" s="1"/>
  <c r="C85" i="3"/>
  <c r="D85" i="3"/>
  <c r="E85" i="3"/>
  <c r="F85" i="3"/>
  <c r="F83" i="3" s="1"/>
  <c r="F106" i="3" s="1"/>
  <c r="G85" i="3"/>
  <c r="G86" i="3" s="1"/>
  <c r="G88" i="3" s="1"/>
  <c r="H85" i="3"/>
  <c r="I85" i="3"/>
  <c r="B85" i="3"/>
  <c r="C79" i="3"/>
  <c r="D79" i="3"/>
  <c r="E79" i="3"/>
  <c r="F79" i="3"/>
  <c r="F80" i="3" s="1"/>
  <c r="G79" i="3"/>
  <c r="H79" i="3"/>
  <c r="H72" i="3" s="1"/>
  <c r="I79" i="3"/>
  <c r="I72" i="3" s="1"/>
  <c r="J72" i="3" s="1"/>
  <c r="B79" i="3"/>
  <c r="B80" i="3" s="1"/>
  <c r="C76" i="3"/>
  <c r="D76" i="3"/>
  <c r="E76" i="3"/>
  <c r="F76" i="3"/>
  <c r="G76" i="3"/>
  <c r="H76" i="3"/>
  <c r="I76" i="3"/>
  <c r="B76" i="3"/>
  <c r="B77" i="3" s="1"/>
  <c r="B74" i="3"/>
  <c r="C73" i="3"/>
  <c r="C66" i="3" s="1"/>
  <c r="C68" i="3" s="1"/>
  <c r="D73" i="3"/>
  <c r="D66" i="3" s="1"/>
  <c r="E73" i="3"/>
  <c r="F73" i="3"/>
  <c r="G73" i="3"/>
  <c r="H73" i="3"/>
  <c r="I73" i="3"/>
  <c r="B73" i="3"/>
  <c r="B70" i="3"/>
  <c r="C69" i="3"/>
  <c r="D69" i="3"/>
  <c r="D72" i="3" s="1"/>
  <c r="E69" i="3"/>
  <c r="E70" i="3" s="1"/>
  <c r="F69" i="3"/>
  <c r="F72" i="3" s="1"/>
  <c r="G69" i="3"/>
  <c r="G70" i="3" s="1"/>
  <c r="H69" i="3"/>
  <c r="I69" i="3"/>
  <c r="B69" i="3"/>
  <c r="C64" i="3"/>
  <c r="D64" i="3"/>
  <c r="E64" i="3"/>
  <c r="F64" i="3"/>
  <c r="G64" i="3"/>
  <c r="H64" i="3"/>
  <c r="I64" i="3"/>
  <c r="J64" i="3" s="1"/>
  <c r="B64" i="3"/>
  <c r="C62" i="3"/>
  <c r="D62" i="3"/>
  <c r="D63" i="3" s="1"/>
  <c r="E62" i="3"/>
  <c r="E63" i="3" s="1"/>
  <c r="F62" i="3"/>
  <c r="F63" i="3" s="1"/>
  <c r="F65" i="3" s="1"/>
  <c r="G62" i="3"/>
  <c r="G63" i="3" s="1"/>
  <c r="G65" i="3" s="1"/>
  <c r="H62" i="3"/>
  <c r="H63" i="3" s="1"/>
  <c r="H65" i="3" s="1"/>
  <c r="I62" i="3"/>
  <c r="B62" i="3"/>
  <c r="B63" i="3" s="1"/>
  <c r="B65" i="3" s="1"/>
  <c r="B61" i="3"/>
  <c r="C60" i="3"/>
  <c r="D60" i="3"/>
  <c r="E60" i="3"/>
  <c r="F60" i="3"/>
  <c r="G60" i="3"/>
  <c r="H60" i="3"/>
  <c r="I60" i="3"/>
  <c r="J60" i="3" s="1"/>
  <c r="B60" i="3"/>
  <c r="B59" i="3"/>
  <c r="C58" i="3"/>
  <c r="D58" i="3"/>
  <c r="E58" i="3"/>
  <c r="F58" i="3"/>
  <c r="F59" i="3" s="1"/>
  <c r="F61" i="3" s="1"/>
  <c r="G58" i="3"/>
  <c r="H59" i="3" s="1"/>
  <c r="H61" i="3" s="1"/>
  <c r="H58" i="3"/>
  <c r="I58" i="3"/>
  <c r="B58" i="3"/>
  <c r="C54" i="3"/>
  <c r="D54" i="3"/>
  <c r="D52" i="3" s="1"/>
  <c r="E54" i="3"/>
  <c r="E55" i="3" s="1"/>
  <c r="F54" i="3"/>
  <c r="G54" i="3"/>
  <c r="H55" i="3" s="1"/>
  <c r="H54" i="3"/>
  <c r="I54" i="3"/>
  <c r="I55" i="3" s="1"/>
  <c r="B55" i="3"/>
  <c r="B57" i="3"/>
  <c r="B56" i="3"/>
  <c r="B54" i="3"/>
  <c r="G220" i="3"/>
  <c r="G219" i="3"/>
  <c r="D220" i="3"/>
  <c r="C219" i="3"/>
  <c r="B220" i="3"/>
  <c r="I216" i="3"/>
  <c r="H216" i="3"/>
  <c r="G217" i="3"/>
  <c r="C216" i="3"/>
  <c r="B217" i="3"/>
  <c r="G211" i="3"/>
  <c r="F211" i="3"/>
  <c r="D211" i="3"/>
  <c r="C211" i="3"/>
  <c r="D210" i="3"/>
  <c r="G209" i="3"/>
  <c r="I209" i="3"/>
  <c r="H210" i="3"/>
  <c r="K204" i="3"/>
  <c r="K203" i="3"/>
  <c r="L203" i="3" s="1"/>
  <c r="M203" i="3" s="1"/>
  <c r="N203" i="3" s="1"/>
  <c r="J202" i="3"/>
  <c r="H202" i="3"/>
  <c r="G202" i="3"/>
  <c r="G204" i="3" s="1"/>
  <c r="E202" i="3"/>
  <c r="A200" i="3"/>
  <c r="I198" i="3"/>
  <c r="H198" i="3"/>
  <c r="I192" i="3"/>
  <c r="D192" i="3"/>
  <c r="B184" i="3"/>
  <c r="B185" i="3" s="1"/>
  <c r="B190" i="3"/>
  <c r="F188" i="3"/>
  <c r="K183" i="3"/>
  <c r="H181" i="3"/>
  <c r="H183" i="3" s="1"/>
  <c r="M179" i="3"/>
  <c r="N179" i="3" s="1"/>
  <c r="L179" i="3"/>
  <c r="K179" i="3"/>
  <c r="L175" i="3"/>
  <c r="M175" i="3" s="1"/>
  <c r="N175" i="3" s="1"/>
  <c r="K175" i="3"/>
  <c r="H173" i="3"/>
  <c r="H175" i="3" s="1"/>
  <c r="F173" i="3"/>
  <c r="F175" i="3" s="1"/>
  <c r="N171" i="3"/>
  <c r="K171" i="3"/>
  <c r="L171" i="3" s="1"/>
  <c r="M171" i="3" s="1"/>
  <c r="A165" i="3"/>
  <c r="H164" i="3"/>
  <c r="I163" i="3"/>
  <c r="H163" i="3"/>
  <c r="E161" i="3"/>
  <c r="H161" i="3"/>
  <c r="D160" i="3"/>
  <c r="I155" i="3"/>
  <c r="J155" i="3" s="1"/>
  <c r="I154" i="3"/>
  <c r="F149" i="3"/>
  <c r="F151" i="3" s="1"/>
  <c r="M148" i="3"/>
  <c r="N148" i="3" s="1"/>
  <c r="K148" i="3"/>
  <c r="L148" i="3" s="1"/>
  <c r="M147" i="3"/>
  <c r="N147" i="3" s="1"/>
  <c r="N146" i="3" s="1"/>
  <c r="L147" i="3"/>
  <c r="L146" i="3" s="1"/>
  <c r="K147" i="3"/>
  <c r="J146" i="3"/>
  <c r="F146" i="3"/>
  <c r="J145" i="3"/>
  <c r="I146" i="3"/>
  <c r="G164" i="3"/>
  <c r="E164" i="3"/>
  <c r="B154" i="3"/>
  <c r="A144" i="3"/>
  <c r="H142" i="3"/>
  <c r="I142" i="3"/>
  <c r="I136" i="3"/>
  <c r="G136" i="3"/>
  <c r="I128" i="3"/>
  <c r="H136" i="3"/>
  <c r="F136" i="3"/>
  <c r="D136" i="3"/>
  <c r="F134" i="3"/>
  <c r="F128" i="3"/>
  <c r="C128" i="3"/>
  <c r="K127" i="3"/>
  <c r="K123" i="3"/>
  <c r="G121" i="3"/>
  <c r="G123" i="3" s="1"/>
  <c r="E121" i="3"/>
  <c r="E123" i="3" s="1"/>
  <c r="C121" i="3"/>
  <c r="C123" i="3" s="1"/>
  <c r="K119" i="3"/>
  <c r="A113" i="3"/>
  <c r="D111" i="3"/>
  <c r="H111" i="3"/>
  <c r="H108" i="3"/>
  <c r="G108" i="3"/>
  <c r="C105" i="3"/>
  <c r="D101" i="3"/>
  <c r="C103" i="3"/>
  <c r="F97" i="3"/>
  <c r="E97" i="3"/>
  <c r="N96" i="3"/>
  <c r="L96" i="3"/>
  <c r="M96" i="3" s="1"/>
  <c r="K96" i="3"/>
  <c r="N92" i="3"/>
  <c r="L92" i="3"/>
  <c r="M92" i="3" s="1"/>
  <c r="K92" i="3"/>
  <c r="H90" i="3"/>
  <c r="H92" i="3" s="1"/>
  <c r="E90" i="3"/>
  <c r="E92" i="3" s="1"/>
  <c r="C90" i="3"/>
  <c r="C92" i="3" s="1"/>
  <c r="K88" i="3"/>
  <c r="I86" i="3"/>
  <c r="A82" i="3"/>
  <c r="I74" i="3"/>
  <c r="G74" i="3"/>
  <c r="D74" i="3"/>
  <c r="B66" i="3"/>
  <c r="B67" i="3" s="1"/>
  <c r="K65" i="3"/>
  <c r="L65" i="3" s="1"/>
  <c r="M65" i="3" s="1"/>
  <c r="N65" i="3" s="1"/>
  <c r="I63" i="3"/>
  <c r="I65" i="3" s="1"/>
  <c r="K61" i="3"/>
  <c r="L61" i="3" s="1"/>
  <c r="M61" i="3" s="1"/>
  <c r="N61" i="3" s="1"/>
  <c r="I59" i="3"/>
  <c r="E59" i="3"/>
  <c r="D59" i="3"/>
  <c r="C59" i="3"/>
  <c r="C61" i="3" s="1"/>
  <c r="K57" i="3"/>
  <c r="L57" i="3" s="1"/>
  <c r="M57" i="3" s="1"/>
  <c r="N57" i="3" s="1"/>
  <c r="I56" i="3"/>
  <c r="J56" i="3" s="1"/>
  <c r="J55" i="3" s="1"/>
  <c r="H56" i="3"/>
  <c r="G56" i="3"/>
  <c r="F56" i="3"/>
  <c r="E56" i="3"/>
  <c r="D56" i="3"/>
  <c r="C56" i="3"/>
  <c r="F55" i="3"/>
  <c r="C52" i="3"/>
  <c r="I52" i="3"/>
  <c r="I81" i="3" s="1"/>
  <c r="J81" i="3" s="1"/>
  <c r="A51" i="3"/>
  <c r="B131" i="1"/>
  <c r="C131" i="1"/>
  <c r="D131" i="1"/>
  <c r="E131" i="1"/>
  <c r="F131" i="1"/>
  <c r="G131" i="1"/>
  <c r="H131" i="1"/>
  <c r="B125" i="1"/>
  <c r="C125" i="1"/>
  <c r="D125" i="1"/>
  <c r="E125" i="1"/>
  <c r="F125" i="1"/>
  <c r="G125" i="1"/>
  <c r="H125" i="1"/>
  <c r="B96" i="1"/>
  <c r="C96" i="1"/>
  <c r="D96" i="1"/>
  <c r="E96" i="1"/>
  <c r="F96" i="1"/>
  <c r="G96" i="1"/>
  <c r="H96" i="1"/>
  <c r="B83" i="1"/>
  <c r="C83" i="1"/>
  <c r="D83" i="1"/>
  <c r="E83" i="1"/>
  <c r="F83" i="1"/>
  <c r="G83" i="1"/>
  <c r="H83" i="1"/>
  <c r="P13" i="4" l="1"/>
  <c r="P19" i="4"/>
  <c r="B44" i="4"/>
  <c r="P21" i="4"/>
  <c r="P22" i="4"/>
  <c r="J59" i="3"/>
  <c r="J58" i="3" s="1"/>
  <c r="K60" i="3"/>
  <c r="L60" i="3" s="1"/>
  <c r="J90" i="3"/>
  <c r="J89" i="3" s="1"/>
  <c r="K91" i="3"/>
  <c r="L91" i="3" s="1"/>
  <c r="L90" i="3" s="1"/>
  <c r="K170" i="3"/>
  <c r="J169" i="3"/>
  <c r="K182" i="3"/>
  <c r="L182" i="3" s="1"/>
  <c r="M182" i="3" s="1"/>
  <c r="N182" i="3" s="1"/>
  <c r="J181" i="3"/>
  <c r="J180" i="3" s="1"/>
  <c r="K64" i="3"/>
  <c r="L64" i="3" s="1"/>
  <c r="M64" i="3" s="1"/>
  <c r="J63" i="3"/>
  <c r="J62" i="3" s="1"/>
  <c r="J94" i="3"/>
  <c r="J93" i="3" s="1"/>
  <c r="K95" i="3"/>
  <c r="L95" i="3" s="1"/>
  <c r="L94" i="3" s="1"/>
  <c r="J177" i="3"/>
  <c r="K178" i="3"/>
  <c r="K177" i="3" s="1"/>
  <c r="J125" i="3"/>
  <c r="J124" i="3" s="1"/>
  <c r="K126" i="3"/>
  <c r="L126" i="3" s="1"/>
  <c r="M126" i="3" s="1"/>
  <c r="J173" i="3"/>
  <c r="K174" i="3"/>
  <c r="L174" i="3" s="1"/>
  <c r="K122" i="3"/>
  <c r="L122" i="3" s="1"/>
  <c r="M122" i="3" s="1"/>
  <c r="N122" i="3" s="1"/>
  <c r="J121" i="3"/>
  <c r="J120" i="3" s="1"/>
  <c r="K87" i="3"/>
  <c r="L87" i="3" s="1"/>
  <c r="M87" i="3" s="1"/>
  <c r="N87" i="3" s="1"/>
  <c r="J86" i="3"/>
  <c r="J85" i="3" s="1"/>
  <c r="J83" i="3" s="1"/>
  <c r="F94" i="3"/>
  <c r="F96" i="3" s="1"/>
  <c r="G125" i="3"/>
  <c r="G127" i="3" s="1"/>
  <c r="B166" i="3"/>
  <c r="B193" i="3"/>
  <c r="H195" i="3"/>
  <c r="C111" i="3"/>
  <c r="H154" i="3"/>
  <c r="J172" i="3"/>
  <c r="C184" i="3"/>
  <c r="C186" i="3" s="1"/>
  <c r="D94" i="3"/>
  <c r="D96" i="3" s="1"/>
  <c r="E117" i="3"/>
  <c r="G181" i="3"/>
  <c r="G183" i="3" s="1"/>
  <c r="D61" i="3"/>
  <c r="G111" i="3"/>
  <c r="I121" i="3"/>
  <c r="C149" i="3"/>
  <c r="I161" i="3"/>
  <c r="J161" i="3" s="1"/>
  <c r="K161" i="3" s="1"/>
  <c r="L161" i="3" s="1"/>
  <c r="M161" i="3" s="1"/>
  <c r="N161" i="3" s="1"/>
  <c r="G163" i="3"/>
  <c r="C214" i="3"/>
  <c r="I80" i="3"/>
  <c r="I219" i="3"/>
  <c r="D139" i="3"/>
  <c r="D193" i="3"/>
  <c r="B83" i="3"/>
  <c r="B84" i="3" s="1"/>
  <c r="C134" i="3"/>
  <c r="G90" i="3"/>
  <c r="D209" i="3"/>
  <c r="C63" i="3"/>
  <c r="C65" i="3" s="1"/>
  <c r="E158" i="3"/>
  <c r="F101" i="3"/>
  <c r="C202" i="3"/>
  <c r="C204" i="3" s="1"/>
  <c r="B52" i="3"/>
  <c r="B78" i="3" s="1"/>
  <c r="I88" i="3"/>
  <c r="B103" i="3"/>
  <c r="B211" i="3"/>
  <c r="D65" i="3"/>
  <c r="I106" i="3"/>
  <c r="B163" i="3"/>
  <c r="D173" i="3"/>
  <c r="D175" i="3" s="1"/>
  <c r="C192" i="3"/>
  <c r="F204" i="3"/>
  <c r="B209" i="3"/>
  <c r="G169" i="3"/>
  <c r="G171" i="3" s="1"/>
  <c r="C72" i="3"/>
  <c r="J54" i="3"/>
  <c r="G94" i="3"/>
  <c r="G96" i="3" s="1"/>
  <c r="J117" i="3"/>
  <c r="C190" i="3"/>
  <c r="H106" i="3"/>
  <c r="D154" i="3"/>
  <c r="E190" i="3"/>
  <c r="B192" i="3"/>
  <c r="D68" i="3"/>
  <c r="G52" i="3"/>
  <c r="G81" i="3" s="1"/>
  <c r="F125" i="3"/>
  <c r="F127" i="3" s="1"/>
  <c r="D202" i="3"/>
  <c r="D204" i="3" s="1"/>
  <c r="I57" i="3"/>
  <c r="K56" i="3"/>
  <c r="L56" i="3" s="1"/>
  <c r="M56" i="3" s="1"/>
  <c r="F57" i="3"/>
  <c r="H57" i="3"/>
  <c r="E57" i="3"/>
  <c r="K10" i="1"/>
  <c r="L178" i="3"/>
  <c r="K173" i="3"/>
  <c r="K172" i="3" s="1"/>
  <c r="K86" i="3"/>
  <c r="H220" i="3"/>
  <c r="E213" i="3"/>
  <c r="H209" i="3"/>
  <c r="D205" i="3"/>
  <c r="E220" i="3"/>
  <c r="D217" i="3"/>
  <c r="G195" i="3"/>
  <c r="C199" i="3"/>
  <c r="G179" i="3"/>
  <c r="D199" i="3"/>
  <c r="F189" i="3"/>
  <c r="B199" i="3"/>
  <c r="B167" i="3"/>
  <c r="F171" i="3"/>
  <c r="C189" i="3"/>
  <c r="C193" i="3"/>
  <c r="D167" i="3"/>
  <c r="C196" i="3"/>
  <c r="B196" i="3"/>
  <c r="C167" i="3"/>
  <c r="D189" i="3"/>
  <c r="B189" i="3"/>
  <c r="B186" i="3"/>
  <c r="C163" i="3"/>
  <c r="G157" i="3"/>
  <c r="I148" i="3"/>
  <c r="D164" i="3"/>
  <c r="E146" i="3"/>
  <c r="E148" i="3" s="1"/>
  <c r="D161" i="3"/>
  <c r="G128" i="3"/>
  <c r="G129" i="3" s="1"/>
  <c r="C127" i="3"/>
  <c r="E119" i="3"/>
  <c r="H117" i="3"/>
  <c r="H119" i="3" s="1"/>
  <c r="F111" i="3"/>
  <c r="F103" i="3"/>
  <c r="H105" i="3"/>
  <c r="F98" i="3"/>
  <c r="C96" i="3"/>
  <c r="C83" i="3"/>
  <c r="E83" i="3"/>
  <c r="E94" i="3"/>
  <c r="E96" i="3" s="1"/>
  <c r="G92" i="3"/>
  <c r="F84" i="3"/>
  <c r="G75" i="3"/>
  <c r="E65" i="3"/>
  <c r="E52" i="3"/>
  <c r="E71" i="3" s="1"/>
  <c r="E61" i="3"/>
  <c r="I61" i="3"/>
  <c r="I75" i="3"/>
  <c r="G59" i="3"/>
  <c r="G61" i="3" s="1"/>
  <c r="C75" i="3"/>
  <c r="D71" i="3"/>
  <c r="E75" i="3"/>
  <c r="G78" i="3"/>
  <c r="G55" i="3"/>
  <c r="G57" i="3" s="1"/>
  <c r="I78" i="3"/>
  <c r="J78" i="3" s="1"/>
  <c r="K78" i="3" s="1"/>
  <c r="L78" i="3" s="1"/>
  <c r="M78" i="3" s="1"/>
  <c r="N78" i="3" s="1"/>
  <c r="D53" i="3"/>
  <c r="D78" i="3"/>
  <c r="L134" i="3"/>
  <c r="C112" i="3"/>
  <c r="I98" i="3"/>
  <c r="K72" i="3"/>
  <c r="E102" i="3"/>
  <c r="K81" i="3"/>
  <c r="C67" i="3"/>
  <c r="C78" i="3"/>
  <c r="F133" i="3"/>
  <c r="F137" i="3"/>
  <c r="F130" i="3"/>
  <c r="C53" i="3"/>
  <c r="C71" i="3"/>
  <c r="M60" i="3"/>
  <c r="L59" i="3"/>
  <c r="K164" i="3"/>
  <c r="D67" i="3"/>
  <c r="I77" i="3"/>
  <c r="L88" i="3"/>
  <c r="M88" i="3" s="1"/>
  <c r="N88" i="3" s="1"/>
  <c r="N86" i="3" s="1"/>
  <c r="M125" i="3"/>
  <c r="F177" i="3"/>
  <c r="F179" i="3" s="1"/>
  <c r="H186" i="3"/>
  <c r="F52" i="3"/>
  <c r="F75" i="3" s="1"/>
  <c r="E66" i="3"/>
  <c r="E68" i="3" s="1"/>
  <c r="C70" i="3"/>
  <c r="H83" i="3"/>
  <c r="H112" i="3" s="1"/>
  <c r="F102" i="3"/>
  <c r="D121" i="3"/>
  <c r="D123" i="3" s="1"/>
  <c r="D114" i="3"/>
  <c r="D133" i="3" s="1"/>
  <c r="I123" i="3"/>
  <c r="L125" i="3"/>
  <c r="N126" i="3"/>
  <c r="E134" i="3"/>
  <c r="F140" i="3"/>
  <c r="M146" i="3"/>
  <c r="G83" i="3"/>
  <c r="G102" i="3" s="1"/>
  <c r="D134" i="3"/>
  <c r="D128" i="3"/>
  <c r="B214" i="3"/>
  <c r="B205" i="3"/>
  <c r="F66" i="3"/>
  <c r="D70" i="3"/>
  <c r="B72" i="3"/>
  <c r="I83" i="3"/>
  <c r="E111" i="3"/>
  <c r="B114" i="3"/>
  <c r="B115" i="3" s="1"/>
  <c r="F117" i="3"/>
  <c r="F119" i="3" s="1"/>
  <c r="H139" i="3"/>
  <c r="E142" i="3"/>
  <c r="B164" i="3"/>
  <c r="B161" i="3"/>
  <c r="D186" i="3"/>
  <c r="D185" i="3"/>
  <c r="H52" i="3"/>
  <c r="H75" i="3" s="1"/>
  <c r="G66" i="3"/>
  <c r="G68" i="3" s="1"/>
  <c r="D90" i="3"/>
  <c r="D92" i="3" s="1"/>
  <c r="I94" i="3"/>
  <c r="I96" i="3" s="1"/>
  <c r="B97" i="3"/>
  <c r="C101" i="3"/>
  <c r="C97" i="3"/>
  <c r="C114" i="3"/>
  <c r="C140" i="3" s="1"/>
  <c r="G117" i="3"/>
  <c r="G119" i="3" s="1"/>
  <c r="F123" i="3"/>
  <c r="F154" i="3"/>
  <c r="F158" i="3"/>
  <c r="C154" i="3"/>
  <c r="C55" i="3"/>
  <c r="C57" i="3" s="1"/>
  <c r="H77" i="3"/>
  <c r="H86" i="3"/>
  <c r="H88" i="3" s="1"/>
  <c r="C158" i="3"/>
  <c r="C164" i="3"/>
  <c r="C146" i="3"/>
  <c r="C148" i="3" s="1"/>
  <c r="H66" i="3"/>
  <c r="F70" i="3"/>
  <c r="C74" i="3"/>
  <c r="B75" i="3"/>
  <c r="D97" i="3"/>
  <c r="E98" i="3" s="1"/>
  <c r="I105" i="3"/>
  <c r="I111" i="3"/>
  <c r="E114" i="3"/>
  <c r="H133" i="3"/>
  <c r="H132" i="3"/>
  <c r="G154" i="3"/>
  <c r="G146" i="3"/>
  <c r="G148" i="3" s="1"/>
  <c r="G161" i="3"/>
  <c r="K202" i="3"/>
  <c r="L204" i="3"/>
  <c r="J52" i="3"/>
  <c r="I66" i="3"/>
  <c r="I68" i="3" s="1"/>
  <c r="E72" i="3"/>
  <c r="F90" i="3"/>
  <c r="F92" i="3" s="1"/>
  <c r="E105" i="3"/>
  <c r="N118" i="3"/>
  <c r="C151" i="3"/>
  <c r="E154" i="3"/>
  <c r="E155" i="3"/>
  <c r="E149" i="3"/>
  <c r="E153" i="3"/>
  <c r="B128" i="3"/>
  <c r="B129" i="3" s="1"/>
  <c r="H70" i="3"/>
  <c r="E74" i="3"/>
  <c r="D75" i="3"/>
  <c r="C77" i="3"/>
  <c r="C86" i="3"/>
  <c r="C88" i="3" s="1"/>
  <c r="F99" i="3"/>
  <c r="H80" i="3"/>
  <c r="K59" i="3"/>
  <c r="K58" i="3" s="1"/>
  <c r="K63" i="3"/>
  <c r="K62" i="3" s="1"/>
  <c r="I70" i="3"/>
  <c r="G72" i="3"/>
  <c r="F74" i="3"/>
  <c r="D77" i="3"/>
  <c r="C81" i="3"/>
  <c r="C80" i="3"/>
  <c r="D81" i="3"/>
  <c r="D86" i="3"/>
  <c r="D88" i="3" s="1"/>
  <c r="E101" i="3"/>
  <c r="I101" i="3"/>
  <c r="D103" i="3"/>
  <c r="G105" i="3"/>
  <c r="F109" i="3"/>
  <c r="F108" i="3"/>
  <c r="F143" i="3"/>
  <c r="F142" i="3"/>
  <c r="J162" i="3"/>
  <c r="K155" i="3"/>
  <c r="J159" i="3"/>
  <c r="J160" i="3" s="1"/>
  <c r="I71" i="3"/>
  <c r="E77" i="3"/>
  <c r="D80" i="3"/>
  <c r="E80" i="3"/>
  <c r="E86" i="3"/>
  <c r="E88" i="3" s="1"/>
  <c r="I90" i="3"/>
  <c r="I92" i="3" s="1"/>
  <c r="E103" i="3"/>
  <c r="G114" i="3"/>
  <c r="G140" i="3" s="1"/>
  <c r="L123" i="3"/>
  <c r="K121" i="3"/>
  <c r="K120" i="3" s="1"/>
  <c r="D125" i="3"/>
  <c r="D127" i="3" s="1"/>
  <c r="E128" i="3"/>
  <c r="H134" i="3"/>
  <c r="G139" i="3"/>
  <c r="G142" i="3"/>
  <c r="F164" i="3"/>
  <c r="F155" i="3"/>
  <c r="F163" i="3"/>
  <c r="D55" i="3"/>
  <c r="D57" i="3" s="1"/>
  <c r="H74" i="3"/>
  <c r="F77" i="3"/>
  <c r="D83" i="3"/>
  <c r="D106" i="3" s="1"/>
  <c r="F86" i="3"/>
  <c r="F88" i="3" s="1"/>
  <c r="G97" i="3"/>
  <c r="H98" i="3" s="1"/>
  <c r="G103" i="3"/>
  <c r="F112" i="3"/>
  <c r="L119" i="3"/>
  <c r="M119" i="3" s="1"/>
  <c r="N119" i="3" s="1"/>
  <c r="K117" i="3"/>
  <c r="D132" i="3"/>
  <c r="G77" i="3"/>
  <c r="G80" i="3"/>
  <c r="K90" i="3"/>
  <c r="K89" i="3" s="1"/>
  <c r="M91" i="3"/>
  <c r="H103" i="3"/>
  <c r="I103" i="3"/>
  <c r="J103" i="3" s="1"/>
  <c r="I112" i="3"/>
  <c r="J112" i="3" s="1"/>
  <c r="I114" i="3"/>
  <c r="I140" i="3" s="1"/>
  <c r="J140" i="3" s="1"/>
  <c r="K140" i="3" s="1"/>
  <c r="L140" i="3" s="1"/>
  <c r="M140" i="3" s="1"/>
  <c r="N140" i="3" s="1"/>
  <c r="J116" i="3"/>
  <c r="I117" i="3"/>
  <c r="I119" i="3" s="1"/>
  <c r="E132" i="3"/>
  <c r="C139" i="3"/>
  <c r="F148" i="3"/>
  <c r="L183" i="3"/>
  <c r="M183" i="3" s="1"/>
  <c r="K181" i="3"/>
  <c r="K180" i="3" s="1"/>
  <c r="L180" i="3" s="1"/>
  <c r="C132" i="3"/>
  <c r="G149" i="3"/>
  <c r="C157" i="3"/>
  <c r="C161" i="3"/>
  <c r="E163" i="3"/>
  <c r="I188" i="3"/>
  <c r="F190" i="3"/>
  <c r="F196" i="3"/>
  <c r="E209" i="3"/>
  <c r="D213" i="3"/>
  <c r="E216" i="3"/>
  <c r="C217" i="3"/>
  <c r="L127" i="3"/>
  <c r="M127" i="3" s="1"/>
  <c r="N127" i="3" s="1"/>
  <c r="K125" i="3"/>
  <c r="K124" i="3" s="1"/>
  <c r="L124" i="3" s="1"/>
  <c r="M124" i="3" s="1"/>
  <c r="F132" i="3"/>
  <c r="H146" i="3"/>
  <c r="H148" i="3" s="1"/>
  <c r="C153" i="3"/>
  <c r="F161" i="3"/>
  <c r="F184" i="3"/>
  <c r="G188" i="3"/>
  <c r="C185" i="3"/>
  <c r="E204" i="3"/>
  <c r="C213" i="3"/>
  <c r="D153" i="3"/>
  <c r="H188" i="3"/>
  <c r="F220" i="3"/>
  <c r="F217" i="3"/>
  <c r="G205" i="3"/>
  <c r="D207" i="3"/>
  <c r="C155" i="3"/>
  <c r="H149" i="3"/>
  <c r="H158" i="3"/>
  <c r="E193" i="3"/>
  <c r="E184" i="3"/>
  <c r="E205" i="3"/>
  <c r="H101" i="3"/>
  <c r="C108" i="3"/>
  <c r="H125" i="3"/>
  <c r="H127" i="3" s="1"/>
  <c r="I132" i="3"/>
  <c r="C136" i="3"/>
  <c r="H137" i="3"/>
  <c r="H140" i="3"/>
  <c r="D155" i="3"/>
  <c r="D149" i="3"/>
  <c r="H155" i="3"/>
  <c r="I157" i="3"/>
  <c r="G158" i="3"/>
  <c r="I160" i="3"/>
  <c r="D163" i="3"/>
  <c r="J176" i="3"/>
  <c r="K176" i="3" s="1"/>
  <c r="F192" i="3"/>
  <c r="H217" i="3"/>
  <c r="H214" i="3"/>
  <c r="F210" i="3"/>
  <c r="F214" i="3"/>
  <c r="F205" i="3"/>
  <c r="E214" i="3"/>
  <c r="C195" i="3"/>
  <c r="I220" i="3"/>
  <c r="J220" i="3" s="1"/>
  <c r="I217" i="3"/>
  <c r="J217" i="3" s="1"/>
  <c r="K217" i="3" s="1"/>
  <c r="L217" i="3" s="1"/>
  <c r="M217" i="3" s="1"/>
  <c r="N217" i="3" s="1"/>
  <c r="E108" i="3"/>
  <c r="F153" i="3"/>
  <c r="G173" i="3"/>
  <c r="G175" i="3" s="1"/>
  <c r="H177" i="3"/>
  <c r="H179" i="3" s="1"/>
  <c r="L181" i="3"/>
  <c r="E188" i="3"/>
  <c r="H193" i="3"/>
  <c r="J201" i="3"/>
  <c r="F209" i="3"/>
  <c r="D216" i="3"/>
  <c r="F199" i="3"/>
  <c r="F193" i="3"/>
  <c r="J168" i="3"/>
  <c r="I169" i="3"/>
  <c r="I171" i="3" s="1"/>
  <c r="I186" i="3"/>
  <c r="J186" i="3" s="1"/>
  <c r="K186" i="3" s="1"/>
  <c r="L186" i="3" s="1"/>
  <c r="M186" i="3" s="1"/>
  <c r="N186" i="3" s="1"/>
  <c r="I214" i="3"/>
  <c r="I181" i="3"/>
  <c r="I183" i="3" s="1"/>
  <c r="G190" i="3"/>
  <c r="G184" i="3"/>
  <c r="D190" i="3"/>
  <c r="D195" i="3"/>
  <c r="H204" i="3"/>
  <c r="H211" i="3"/>
  <c r="H205" i="3"/>
  <c r="I108" i="3"/>
  <c r="H121" i="3"/>
  <c r="H123" i="3" s="1"/>
  <c r="H128" i="3"/>
  <c r="D146" i="3"/>
  <c r="D148" i="3" s="1"/>
  <c r="B158" i="3"/>
  <c r="B149" i="3"/>
  <c r="H160" i="3"/>
  <c r="H169" i="3"/>
  <c r="H171" i="3" s="1"/>
  <c r="H189" i="3"/>
  <c r="H190" i="3"/>
  <c r="I190" i="3"/>
  <c r="J190" i="3" s="1"/>
  <c r="I202" i="3"/>
  <c r="I210" i="3"/>
  <c r="I211" i="3"/>
  <c r="J211" i="3" s="1"/>
  <c r="E211" i="3"/>
  <c r="G132" i="3"/>
  <c r="I149" i="3"/>
  <c r="G153" i="3"/>
  <c r="D196" i="3"/>
  <c r="G214" i="3"/>
  <c r="E217" i="3"/>
  <c r="D219" i="3"/>
  <c r="C220" i="3"/>
  <c r="H153" i="3"/>
  <c r="E157" i="3"/>
  <c r="D158" i="3"/>
  <c r="C160" i="3"/>
  <c r="H192" i="3"/>
  <c r="F195" i="3"/>
  <c r="D198" i="3"/>
  <c r="I213" i="3"/>
  <c r="G216" i="3"/>
  <c r="E219" i="3"/>
  <c r="K146" i="3"/>
  <c r="K145" i="3" s="1"/>
  <c r="C205" i="3"/>
  <c r="I195" i="3"/>
  <c r="G198" i="3"/>
  <c r="C209" i="3"/>
  <c r="H219" i="3"/>
  <c r="C188" i="3"/>
  <c r="J152" i="3" l="1"/>
  <c r="J153" i="3" s="1"/>
  <c r="J163" i="3"/>
  <c r="K94" i="3"/>
  <c r="K93" i="3" s="1"/>
  <c r="L93" i="3" s="1"/>
  <c r="K85" i="3"/>
  <c r="C84" i="3"/>
  <c r="M95" i="3"/>
  <c r="B106" i="3"/>
  <c r="L172" i="3"/>
  <c r="G106" i="3"/>
  <c r="B109" i="3"/>
  <c r="M174" i="3"/>
  <c r="L173" i="3"/>
  <c r="F68" i="3"/>
  <c r="L55" i="3"/>
  <c r="L170" i="3"/>
  <c r="K169" i="3"/>
  <c r="K168" i="3" s="1"/>
  <c r="B53" i="3"/>
  <c r="E99" i="3"/>
  <c r="E106" i="3"/>
  <c r="K55" i="3"/>
  <c r="K54" i="3" s="1"/>
  <c r="L54" i="3" s="1"/>
  <c r="H68" i="3"/>
  <c r="C102" i="3"/>
  <c r="C106" i="3"/>
  <c r="B112" i="3"/>
  <c r="B102" i="3"/>
  <c r="L63" i="3"/>
  <c r="L62" i="3" s="1"/>
  <c r="B68" i="3"/>
  <c r="B71" i="3"/>
  <c r="B81" i="3"/>
  <c r="G71" i="3"/>
  <c r="M178" i="3"/>
  <c r="L177" i="3"/>
  <c r="L176" i="3" s="1"/>
  <c r="L58" i="3"/>
  <c r="M58" i="3" s="1"/>
  <c r="N58" i="3" s="1"/>
  <c r="D206" i="3"/>
  <c r="B207" i="3"/>
  <c r="B206" i="3"/>
  <c r="B151" i="3"/>
  <c r="B150" i="3"/>
  <c r="C129" i="3"/>
  <c r="B130" i="3"/>
  <c r="C130" i="3"/>
  <c r="G137" i="3"/>
  <c r="B137" i="3"/>
  <c r="B99" i="3"/>
  <c r="B98" i="3"/>
  <c r="E112" i="3"/>
  <c r="E109" i="3"/>
  <c r="C109" i="3"/>
  <c r="G112" i="3"/>
  <c r="I84" i="3"/>
  <c r="E81" i="3"/>
  <c r="E53" i="3"/>
  <c r="E78" i="3"/>
  <c r="F78" i="3"/>
  <c r="I53" i="3"/>
  <c r="G53" i="3"/>
  <c r="H71" i="3"/>
  <c r="F71" i="3"/>
  <c r="K162" i="3"/>
  <c r="K159" i="3"/>
  <c r="K160" i="3" s="1"/>
  <c r="L145" i="3"/>
  <c r="L89" i="3"/>
  <c r="K83" i="3"/>
  <c r="C98" i="3"/>
  <c r="C99" i="3"/>
  <c r="E199" i="3"/>
  <c r="E196" i="3"/>
  <c r="E189" i="3"/>
  <c r="F167" i="3"/>
  <c r="E167" i="3"/>
  <c r="N91" i="3"/>
  <c r="N90" i="3" s="1"/>
  <c r="M90" i="3"/>
  <c r="E129" i="3"/>
  <c r="E130" i="3"/>
  <c r="C150" i="3"/>
  <c r="M117" i="3"/>
  <c r="N125" i="3"/>
  <c r="N124" i="3" s="1"/>
  <c r="E84" i="3"/>
  <c r="F129" i="3"/>
  <c r="E115" i="3"/>
  <c r="E143" i="3"/>
  <c r="E140" i="3"/>
  <c r="G207" i="3"/>
  <c r="G206" i="3"/>
  <c r="L121" i="3"/>
  <c r="L120" i="3" s="1"/>
  <c r="M123" i="3"/>
  <c r="J53" i="3"/>
  <c r="J79" i="3"/>
  <c r="J76" i="3"/>
  <c r="J77" i="3" s="1"/>
  <c r="D137" i="3"/>
  <c r="D115" i="3"/>
  <c r="D143" i="3"/>
  <c r="D140" i="3"/>
  <c r="E137" i="3"/>
  <c r="J68" i="3"/>
  <c r="K68" i="3" s="1"/>
  <c r="L68" i="3" s="1"/>
  <c r="M68" i="3" s="1"/>
  <c r="N68" i="3" s="1"/>
  <c r="I67" i="3"/>
  <c r="K211" i="3"/>
  <c r="G196" i="3"/>
  <c r="G193" i="3"/>
  <c r="G167" i="3"/>
  <c r="K201" i="3"/>
  <c r="J215" i="3"/>
  <c r="J216" i="3" s="1"/>
  <c r="J205" i="3"/>
  <c r="J218" i="3"/>
  <c r="G189" i="3"/>
  <c r="G143" i="3"/>
  <c r="G133" i="3"/>
  <c r="G115" i="3"/>
  <c r="H115" i="3"/>
  <c r="G130" i="3"/>
  <c r="I102" i="3"/>
  <c r="L72" i="3"/>
  <c r="F186" i="3"/>
  <c r="F185" i="3"/>
  <c r="H129" i="3"/>
  <c r="H130" i="3"/>
  <c r="K220" i="3"/>
  <c r="K116" i="3"/>
  <c r="J114" i="3"/>
  <c r="M204" i="3"/>
  <c r="L202" i="3"/>
  <c r="G84" i="3"/>
  <c r="G109" i="3"/>
  <c r="N56" i="3"/>
  <c r="N55" i="3" s="1"/>
  <c r="M55" i="3"/>
  <c r="G199" i="3"/>
  <c r="E207" i="3"/>
  <c r="E206" i="3"/>
  <c r="G151" i="3"/>
  <c r="G150" i="3"/>
  <c r="I115" i="3"/>
  <c r="I130" i="3"/>
  <c r="J130" i="3" s="1"/>
  <c r="K130" i="3" s="1"/>
  <c r="L130" i="3" s="1"/>
  <c r="M130" i="3" s="1"/>
  <c r="N130" i="3" s="1"/>
  <c r="I143" i="3"/>
  <c r="J143" i="3" s="1"/>
  <c r="I137" i="3"/>
  <c r="I133" i="3"/>
  <c r="N117" i="3"/>
  <c r="D99" i="3"/>
  <c r="D98" i="3"/>
  <c r="M86" i="3"/>
  <c r="B143" i="3"/>
  <c r="B140" i="3"/>
  <c r="B133" i="3"/>
  <c r="L86" i="3"/>
  <c r="L85" i="3" s="1"/>
  <c r="L81" i="3"/>
  <c r="M134" i="3"/>
  <c r="D112" i="3"/>
  <c r="D84" i="3"/>
  <c r="C207" i="3"/>
  <c r="C206" i="3"/>
  <c r="I204" i="3"/>
  <c r="E185" i="3"/>
  <c r="E186" i="3"/>
  <c r="I129" i="3"/>
  <c r="L155" i="3"/>
  <c r="L117" i="3"/>
  <c r="J110" i="3"/>
  <c r="J84" i="3"/>
  <c r="H99" i="3"/>
  <c r="H84" i="3"/>
  <c r="H102" i="3"/>
  <c r="H109" i="3"/>
  <c r="I99" i="3"/>
  <c r="J99" i="3" s="1"/>
  <c r="K99" i="3" s="1"/>
  <c r="L99" i="3" s="1"/>
  <c r="M99" i="3" s="1"/>
  <c r="N99" i="3" s="1"/>
  <c r="G185" i="3"/>
  <c r="H185" i="3"/>
  <c r="G186" i="3"/>
  <c r="G67" i="3"/>
  <c r="L164" i="3"/>
  <c r="F115" i="3"/>
  <c r="D130" i="3"/>
  <c r="D129" i="3"/>
  <c r="I193" i="3"/>
  <c r="I189" i="3"/>
  <c r="I167" i="3"/>
  <c r="K112" i="3"/>
  <c r="D109" i="3"/>
  <c r="I199" i="3"/>
  <c r="J199" i="3" s="1"/>
  <c r="F206" i="3"/>
  <c r="F207" i="3"/>
  <c r="D150" i="3"/>
  <c r="D151" i="3"/>
  <c r="I109" i="3"/>
  <c r="J109" i="3" s="1"/>
  <c r="K109" i="3" s="1"/>
  <c r="L109" i="3" s="1"/>
  <c r="M109" i="3" s="1"/>
  <c r="N109" i="3" s="1"/>
  <c r="E151" i="3"/>
  <c r="E150" i="3"/>
  <c r="F150" i="3"/>
  <c r="H81" i="3"/>
  <c r="H53" i="3"/>
  <c r="N64" i="3"/>
  <c r="N63" i="3" s="1"/>
  <c r="M63" i="3"/>
  <c r="H78" i="3"/>
  <c r="I151" i="3"/>
  <c r="J151" i="3" s="1"/>
  <c r="I150" i="3"/>
  <c r="N60" i="3"/>
  <c r="N59" i="3" s="1"/>
  <c r="M59" i="3"/>
  <c r="K190" i="3"/>
  <c r="H206" i="3"/>
  <c r="I206" i="3"/>
  <c r="H207" i="3"/>
  <c r="J166" i="3"/>
  <c r="H150" i="3"/>
  <c r="H151" i="3"/>
  <c r="I196" i="3"/>
  <c r="J196" i="3" s="1"/>
  <c r="K196" i="3" s="1"/>
  <c r="L196" i="3" s="1"/>
  <c r="M196" i="3" s="1"/>
  <c r="N196" i="3" s="1"/>
  <c r="N183" i="3"/>
  <c r="N181" i="3" s="1"/>
  <c r="M181" i="3"/>
  <c r="M180" i="3" s="1"/>
  <c r="N180" i="3" s="1"/>
  <c r="K103" i="3"/>
  <c r="N95" i="3"/>
  <c r="N94" i="3" s="1"/>
  <c r="M94" i="3"/>
  <c r="M93" i="3" s="1"/>
  <c r="N93" i="3" s="1"/>
  <c r="H67" i="3"/>
  <c r="E67" i="3"/>
  <c r="H167" i="3"/>
  <c r="H196" i="3"/>
  <c r="H199" i="3"/>
  <c r="G98" i="3"/>
  <c r="G99" i="3"/>
  <c r="D102" i="3"/>
  <c r="C137" i="3"/>
  <c r="C143" i="3"/>
  <c r="C115" i="3"/>
  <c r="C133" i="3"/>
  <c r="F67" i="3"/>
  <c r="E133" i="3"/>
  <c r="F81" i="3"/>
  <c r="F53" i="3"/>
  <c r="K52" i="3" l="1"/>
  <c r="M170" i="3"/>
  <c r="L169" i="3"/>
  <c r="N174" i="3"/>
  <c r="N173" i="3" s="1"/>
  <c r="M173" i="3"/>
  <c r="M172" i="3" s="1"/>
  <c r="N172" i="3" s="1"/>
  <c r="J100" i="3"/>
  <c r="J111" i="3"/>
  <c r="J208" i="3"/>
  <c r="J212" i="3" s="1"/>
  <c r="J213" i="3" s="1"/>
  <c r="J219" i="3"/>
  <c r="M62" i="3"/>
  <c r="N62" i="3" s="1"/>
  <c r="K152" i="3"/>
  <c r="K153" i="3" s="1"/>
  <c r="K163" i="3"/>
  <c r="J206" i="3"/>
  <c r="J69" i="3"/>
  <c r="J71" i="3" s="1"/>
  <c r="J80" i="3"/>
  <c r="M177" i="3"/>
  <c r="M176" i="3" s="1"/>
  <c r="N178" i="3"/>
  <c r="N177" i="3" s="1"/>
  <c r="J107" i="3"/>
  <c r="J108" i="3" s="1"/>
  <c r="J101" i="3"/>
  <c r="J209" i="3"/>
  <c r="J197" i="3"/>
  <c r="J194" i="3"/>
  <c r="J195" i="3" s="1"/>
  <c r="J167" i="3"/>
  <c r="J184" i="3"/>
  <c r="L220" i="3"/>
  <c r="K199" i="3"/>
  <c r="J97" i="3"/>
  <c r="M164" i="3"/>
  <c r="M89" i="3"/>
  <c r="N89" i="3" s="1"/>
  <c r="L112" i="3"/>
  <c r="N134" i="3"/>
  <c r="K166" i="3"/>
  <c r="L168" i="3"/>
  <c r="K143" i="3"/>
  <c r="M72" i="3"/>
  <c r="K218" i="3"/>
  <c r="K215" i="3"/>
  <c r="K216" i="3" s="1"/>
  <c r="L201" i="3"/>
  <c r="K205" i="3"/>
  <c r="L162" i="3"/>
  <c r="L159" i="3"/>
  <c r="L160" i="3" s="1"/>
  <c r="M145" i="3"/>
  <c r="M81" i="3"/>
  <c r="L83" i="3"/>
  <c r="M85" i="3"/>
  <c r="M202" i="3"/>
  <c r="N204" i="3"/>
  <c r="N202" i="3" s="1"/>
  <c r="J70" i="3"/>
  <c r="L103" i="3"/>
  <c r="M155" i="3"/>
  <c r="J138" i="3"/>
  <c r="J139" i="3" s="1"/>
  <c r="J115" i="3"/>
  <c r="J128" i="3"/>
  <c r="J141" i="3"/>
  <c r="K97" i="3"/>
  <c r="K107" i="3"/>
  <c r="K108" i="3" s="1"/>
  <c r="K110" i="3"/>
  <c r="K84" i="3"/>
  <c r="K114" i="3"/>
  <c r="L116" i="3"/>
  <c r="L211" i="3"/>
  <c r="J66" i="3"/>
  <c r="K66" i="3"/>
  <c r="K53" i="3"/>
  <c r="K79" i="3"/>
  <c r="K76" i="3"/>
  <c r="K77" i="3" s="1"/>
  <c r="L190" i="3"/>
  <c r="K151" i="3"/>
  <c r="J149" i="3"/>
  <c r="N123" i="3"/>
  <c r="N121" i="3" s="1"/>
  <c r="M121" i="3"/>
  <c r="M120" i="3" s="1"/>
  <c r="M54" i="3"/>
  <c r="L52" i="3"/>
  <c r="J187" i="3" l="1"/>
  <c r="J198" i="3"/>
  <c r="K212" i="3"/>
  <c r="N170" i="3"/>
  <c r="N169" i="3" s="1"/>
  <c r="M169" i="3"/>
  <c r="J131" i="3"/>
  <c r="J132" i="3" s="1"/>
  <c r="J142" i="3"/>
  <c r="L152" i="3"/>
  <c r="L163" i="3"/>
  <c r="N176" i="3"/>
  <c r="K208" i="3"/>
  <c r="K219" i="3"/>
  <c r="K100" i="3"/>
  <c r="K111" i="3"/>
  <c r="K69" i="3"/>
  <c r="K71" i="3" s="1"/>
  <c r="K80" i="3"/>
  <c r="N120" i="3"/>
  <c r="N54" i="3"/>
  <c r="N52" i="3" s="1"/>
  <c r="M52" i="3"/>
  <c r="N155" i="3"/>
  <c r="M220" i="3"/>
  <c r="J150" i="3"/>
  <c r="J156" i="3"/>
  <c r="K141" i="3"/>
  <c r="K128" i="3"/>
  <c r="K138" i="3"/>
  <c r="K139" i="3" s="1"/>
  <c r="K115" i="3"/>
  <c r="M103" i="3"/>
  <c r="K184" i="3"/>
  <c r="K167" i="3"/>
  <c r="K194" i="3"/>
  <c r="K195" i="3" s="1"/>
  <c r="K197" i="3"/>
  <c r="L153" i="3"/>
  <c r="L114" i="3"/>
  <c r="M116" i="3"/>
  <c r="L205" i="3"/>
  <c r="M201" i="3"/>
  <c r="L215" i="3"/>
  <c r="L216" i="3" s="1"/>
  <c r="L218" i="3"/>
  <c r="K209" i="3"/>
  <c r="M190" i="3"/>
  <c r="M211" i="3"/>
  <c r="K101" i="3"/>
  <c r="J188" i="3"/>
  <c r="L199" i="3"/>
  <c r="J191" i="3"/>
  <c r="J185" i="3"/>
  <c r="M112" i="3"/>
  <c r="K104" i="3"/>
  <c r="K98" i="3"/>
  <c r="M83" i="3"/>
  <c r="N85" i="3"/>
  <c r="N83" i="3" s="1"/>
  <c r="N72" i="3"/>
  <c r="J135" i="3"/>
  <c r="J129" i="3"/>
  <c r="L110" i="3"/>
  <c r="L97" i="3"/>
  <c r="L107" i="3"/>
  <c r="L108" i="3" s="1"/>
  <c r="L84" i="3"/>
  <c r="K67" i="3"/>
  <c r="N164" i="3"/>
  <c r="M159" i="3"/>
  <c r="M160" i="3" s="1"/>
  <c r="N145" i="3"/>
  <c r="M162" i="3"/>
  <c r="L166" i="3"/>
  <c r="M168" i="3"/>
  <c r="L151" i="3"/>
  <c r="K149" i="3"/>
  <c r="K206" i="3"/>
  <c r="L66" i="3"/>
  <c r="L53" i="3"/>
  <c r="L79" i="3"/>
  <c r="L76" i="3"/>
  <c r="L77" i="3" s="1"/>
  <c r="J73" i="3"/>
  <c r="J67" i="3"/>
  <c r="N81" i="3"/>
  <c r="L143" i="3"/>
  <c r="J104" i="3"/>
  <c r="J98" i="3"/>
  <c r="K187" i="3" l="1"/>
  <c r="K198" i="3"/>
  <c r="M152" i="3"/>
  <c r="M163" i="3"/>
  <c r="L208" i="3"/>
  <c r="L209" i="3" s="1"/>
  <c r="L219" i="3"/>
  <c r="K131" i="3"/>
  <c r="K132" i="3" s="1"/>
  <c r="K142" i="3"/>
  <c r="L100" i="3"/>
  <c r="L101" i="3" s="1"/>
  <c r="L111" i="3"/>
  <c r="L212" i="3"/>
  <c r="K70" i="3"/>
  <c r="K73" i="3"/>
  <c r="L69" i="3"/>
  <c r="L70" i="3" s="1"/>
  <c r="L80" i="3"/>
  <c r="M153" i="3"/>
  <c r="M66" i="3"/>
  <c r="M53" i="3"/>
  <c r="M79" i="3"/>
  <c r="M76" i="3"/>
  <c r="M77" i="3" s="1"/>
  <c r="J105" i="3"/>
  <c r="L67" i="3"/>
  <c r="N103" i="3"/>
  <c r="M215" i="3"/>
  <c r="M216" i="3" s="1"/>
  <c r="N201" i="3"/>
  <c r="M205" i="3"/>
  <c r="M218" i="3"/>
  <c r="M143" i="3"/>
  <c r="L206" i="3"/>
  <c r="M114" i="3"/>
  <c r="N116" i="3"/>
  <c r="N114" i="3" s="1"/>
  <c r="K129" i="3"/>
  <c r="K135" i="3"/>
  <c r="K156" i="3"/>
  <c r="K150" i="3"/>
  <c r="L115" i="3"/>
  <c r="L141" i="3"/>
  <c r="L128" i="3"/>
  <c r="L138" i="3"/>
  <c r="L139" i="3" s="1"/>
  <c r="M151" i="3"/>
  <c r="L149" i="3"/>
  <c r="K105" i="3"/>
  <c r="N211" i="3"/>
  <c r="J157" i="3"/>
  <c r="M199" i="3"/>
  <c r="N84" i="3"/>
  <c r="N97" i="3"/>
  <c r="N107" i="3"/>
  <c r="M84" i="3"/>
  <c r="M97" i="3"/>
  <c r="M110" i="3"/>
  <c r="M107" i="3"/>
  <c r="M108" i="3" s="1"/>
  <c r="N168" i="3"/>
  <c r="N166" i="3" s="1"/>
  <c r="M166" i="3"/>
  <c r="L98" i="3"/>
  <c r="L104" i="3"/>
  <c r="N112" i="3"/>
  <c r="K75" i="3"/>
  <c r="K74" i="3"/>
  <c r="K213" i="3"/>
  <c r="J75" i="3"/>
  <c r="J74" i="3"/>
  <c r="L194" i="3"/>
  <c r="L195" i="3" s="1"/>
  <c r="L167" i="3"/>
  <c r="L184" i="3"/>
  <c r="L197" i="3"/>
  <c r="N190" i="3"/>
  <c r="K188" i="3"/>
  <c r="J137" i="3"/>
  <c r="J136" i="3"/>
  <c r="J192" i="3"/>
  <c r="N220" i="3"/>
  <c r="N162" i="3"/>
  <c r="N159" i="3"/>
  <c r="N160" i="3" s="1"/>
  <c r="K185" i="3"/>
  <c r="K191" i="3"/>
  <c r="N66" i="3"/>
  <c r="N53" i="3"/>
  <c r="N79" i="3"/>
  <c r="N76" i="3"/>
  <c r="M100" i="3" l="1"/>
  <c r="M111" i="3"/>
  <c r="N152" i="3"/>
  <c r="N163" i="3"/>
  <c r="M208" i="3"/>
  <c r="M212" i="3" s="1"/>
  <c r="M219" i="3"/>
  <c r="L187" i="3"/>
  <c r="L188" i="3" s="1"/>
  <c r="L198" i="3"/>
  <c r="L131" i="3"/>
  <c r="L132" i="3" s="1"/>
  <c r="L142" i="3"/>
  <c r="L71" i="3"/>
  <c r="L73" i="3"/>
  <c r="L74" i="3" s="1"/>
  <c r="M69" i="3"/>
  <c r="M73" i="3" s="1"/>
  <c r="M80" i="3"/>
  <c r="N69" i="3"/>
  <c r="N71" i="3" s="1"/>
  <c r="N80" i="3"/>
  <c r="N77" i="3"/>
  <c r="N108" i="3"/>
  <c r="M209" i="3"/>
  <c r="N153" i="3"/>
  <c r="L75" i="3"/>
  <c r="N151" i="3"/>
  <c r="N149" i="3" s="1"/>
  <c r="M149" i="3"/>
  <c r="M138" i="3"/>
  <c r="M139" i="3" s="1"/>
  <c r="M115" i="3"/>
  <c r="M141" i="3"/>
  <c r="M128" i="3"/>
  <c r="L185" i="3"/>
  <c r="L213" i="3"/>
  <c r="N110" i="3"/>
  <c r="N141" i="3"/>
  <c r="N138" i="3"/>
  <c r="N128" i="3"/>
  <c r="N115" i="3"/>
  <c r="N98" i="3"/>
  <c r="L105" i="3"/>
  <c r="M184" i="3"/>
  <c r="M194" i="3"/>
  <c r="M195" i="3" s="1"/>
  <c r="M167" i="3"/>
  <c r="M197" i="3"/>
  <c r="L135" i="3"/>
  <c r="L129" i="3"/>
  <c r="L156" i="3"/>
  <c r="L150" i="3"/>
  <c r="N199" i="3"/>
  <c r="N143" i="3"/>
  <c r="N67" i="3"/>
  <c r="N73" i="3"/>
  <c r="N167" i="3"/>
  <c r="N184" i="3"/>
  <c r="N194" i="3"/>
  <c r="N195" i="3" s="1"/>
  <c r="M206" i="3"/>
  <c r="M67" i="3"/>
  <c r="K192" i="3"/>
  <c r="N205" i="3"/>
  <c r="N215" i="3"/>
  <c r="N216" i="3" s="1"/>
  <c r="N218" i="3"/>
  <c r="K157" i="3"/>
  <c r="M98" i="3"/>
  <c r="M104" i="3"/>
  <c r="K136" i="3"/>
  <c r="K137" i="3"/>
  <c r="M101" i="3"/>
  <c r="M187" i="3" l="1"/>
  <c r="M198" i="3"/>
  <c r="N208" i="3"/>
  <c r="N219" i="3"/>
  <c r="N100" i="3"/>
  <c r="N104" i="3" s="1"/>
  <c r="N105" i="3" s="1"/>
  <c r="N111" i="3"/>
  <c r="N131" i="3"/>
  <c r="N132" i="3" s="1"/>
  <c r="N142" i="3"/>
  <c r="M131" i="3"/>
  <c r="M132" i="3" s="1"/>
  <c r="M142" i="3"/>
  <c r="N212" i="3"/>
  <c r="L191" i="3"/>
  <c r="L192" i="3" s="1"/>
  <c r="N70" i="3"/>
  <c r="M70" i="3"/>
  <c r="M71" i="3"/>
  <c r="N197" i="3"/>
  <c r="N185" i="3"/>
  <c r="L157" i="3"/>
  <c r="N75" i="3"/>
  <c r="N74" i="3"/>
  <c r="N206" i="3"/>
  <c r="N129" i="3"/>
  <c r="N135" i="3"/>
  <c r="M150" i="3"/>
  <c r="M156" i="3"/>
  <c r="M188" i="3"/>
  <c r="N139" i="3"/>
  <c r="N150" i="3"/>
  <c r="N156" i="3"/>
  <c r="M129" i="3"/>
  <c r="L136" i="3"/>
  <c r="L137" i="3"/>
  <c r="M75" i="3"/>
  <c r="M74" i="3"/>
  <c r="M185" i="3"/>
  <c r="M191" i="3"/>
  <c r="N209" i="3"/>
  <c r="N101" i="3"/>
  <c r="M105" i="3"/>
  <c r="M213" i="3"/>
  <c r="M135" i="3" l="1"/>
  <c r="N187" i="3"/>
  <c r="N191" i="3" s="1"/>
  <c r="N198" i="3"/>
  <c r="N188" i="3"/>
  <c r="N192" i="3"/>
  <c r="N137" i="3"/>
  <c r="N136" i="3"/>
  <c r="N157" i="3"/>
  <c r="N213" i="3"/>
  <c r="M137" i="3"/>
  <c r="M136" i="3"/>
  <c r="M192" i="3"/>
  <c r="M157" i="3"/>
  <c r="J1" i="4" l="1"/>
  <c r="K1" i="4" s="1"/>
  <c r="L1" i="4" s="1"/>
  <c r="M1" i="4" s="1"/>
  <c r="N1" i="4" s="1"/>
  <c r="H1" i="4"/>
  <c r="G1" i="4" s="1"/>
  <c r="F1" i="4" s="1"/>
  <c r="E1" i="4" s="1"/>
  <c r="D1" i="4" s="1"/>
  <c r="C1" i="4" s="1"/>
  <c r="B1" i="4" s="1"/>
  <c r="I48" i="3" l="1"/>
  <c r="I17" i="3" s="1"/>
  <c r="H48" i="3"/>
  <c r="H17" i="3" s="1"/>
  <c r="G48" i="3"/>
  <c r="G17" i="3" s="1"/>
  <c r="F48" i="3"/>
  <c r="F17" i="3" s="1"/>
  <c r="E48" i="3"/>
  <c r="E17" i="3" s="1"/>
  <c r="D48" i="3"/>
  <c r="D17" i="3" s="1"/>
  <c r="C48" i="3"/>
  <c r="C17" i="3" s="1"/>
  <c r="B48" i="3"/>
  <c r="K34" i="3"/>
  <c r="L34" i="3" s="1"/>
  <c r="M34" i="3" s="1"/>
  <c r="N34" i="3" s="1"/>
  <c r="K30" i="3"/>
  <c r="L30" i="3" s="1"/>
  <c r="M30" i="3" s="1"/>
  <c r="N30" i="3" s="1"/>
  <c r="K26" i="3"/>
  <c r="L26" i="3" s="1"/>
  <c r="M26" i="3" s="1"/>
  <c r="N26" i="3" s="1"/>
  <c r="E18" i="3" l="1"/>
  <c r="B49" i="3"/>
  <c r="B17" i="3"/>
  <c r="F18" i="3"/>
  <c r="H18" i="3"/>
  <c r="C18" i="3"/>
  <c r="D18" i="3"/>
  <c r="G18" i="3"/>
  <c r="I18" i="3"/>
  <c r="F49" i="3"/>
  <c r="C49" i="3"/>
  <c r="E49" i="3"/>
  <c r="D49" i="3"/>
  <c r="G49" i="3"/>
  <c r="H49" i="3"/>
  <c r="I49" i="3"/>
  <c r="K33"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J33" i="3" s="1"/>
  <c r="J32" i="3" s="1"/>
  <c r="I29" i="3"/>
  <c r="J29" i="3" s="1"/>
  <c r="J28" i="3" s="1"/>
  <c r="H29" i="3"/>
  <c r="G29" i="3"/>
  <c r="F29" i="3"/>
  <c r="E29" i="3"/>
  <c r="D29" i="3"/>
  <c r="C29" i="3"/>
  <c r="B29" i="3"/>
  <c r="H25" i="3"/>
  <c r="G25" i="3"/>
  <c r="F25" i="3"/>
  <c r="E25" i="3"/>
  <c r="D25" i="3"/>
  <c r="C25" i="3"/>
  <c r="B25" i="3"/>
  <c r="I25" i="3"/>
  <c r="J25" i="3" s="1"/>
  <c r="I31" i="3"/>
  <c r="J31" i="3" s="1"/>
  <c r="H31" i="3"/>
  <c r="G31" i="3"/>
  <c r="F31" i="3"/>
  <c r="E31" i="3"/>
  <c r="D31" i="3"/>
  <c r="C31" i="3"/>
  <c r="B31" i="3"/>
  <c r="B32" i="3" s="1"/>
  <c r="I27" i="3"/>
  <c r="H27" i="3"/>
  <c r="G27" i="3"/>
  <c r="F27" i="3"/>
  <c r="E27" i="3"/>
  <c r="D27" i="3"/>
  <c r="C27" i="3"/>
  <c r="B27" i="3"/>
  <c r="B28" i="3" s="1"/>
  <c r="B30" i="3" s="1"/>
  <c r="B23" i="3"/>
  <c r="B24" i="3" s="1"/>
  <c r="C23" i="3"/>
  <c r="D23" i="3"/>
  <c r="E23" i="3"/>
  <c r="F23" i="3"/>
  <c r="G23" i="3"/>
  <c r="H23" i="3"/>
  <c r="I23" i="3"/>
  <c r="J1" i="3"/>
  <c r="K1" i="3" s="1"/>
  <c r="L1" i="3" s="1"/>
  <c r="M1" i="3" s="1"/>
  <c r="N1" i="3" s="1"/>
  <c r="H1" i="3"/>
  <c r="G1" i="3" s="1"/>
  <c r="F1" i="3" s="1"/>
  <c r="E1" i="3" s="1"/>
  <c r="D1" i="3" s="1"/>
  <c r="C1" i="3" s="1"/>
  <c r="B1" i="3" s="1"/>
  <c r="C41" i="3" l="1"/>
  <c r="C8" i="3"/>
  <c r="B41" i="3"/>
  <c r="B8" i="3"/>
  <c r="G15" i="3"/>
  <c r="E41" i="3"/>
  <c r="E8" i="3"/>
  <c r="J23" i="3"/>
  <c r="J21" i="3" s="1"/>
  <c r="G41" i="3"/>
  <c r="G8" i="3"/>
  <c r="K29" i="3"/>
  <c r="K28" i="3" s="1"/>
  <c r="K27" i="3" s="1"/>
  <c r="D15" i="3"/>
  <c r="F15" i="3"/>
  <c r="F41" i="3"/>
  <c r="F8" i="3"/>
  <c r="H41" i="3"/>
  <c r="H8" i="3"/>
  <c r="B18" i="3"/>
  <c r="E15" i="3"/>
  <c r="D41" i="3"/>
  <c r="D8" i="3"/>
  <c r="I15" i="3"/>
  <c r="C15" i="3"/>
  <c r="H15" i="3"/>
  <c r="J24" i="3"/>
  <c r="K25" i="3"/>
  <c r="J27" i="3"/>
  <c r="I41" i="3"/>
  <c r="J41" i="3" s="1"/>
  <c r="K41" i="3" s="1"/>
  <c r="L41" i="3" s="1"/>
  <c r="I8" i="3"/>
  <c r="B15"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3" i="1"/>
  <c r="I164" i="1"/>
  <c r="I165" i="1" s="1"/>
  <c r="I161" i="1"/>
  <c r="H161" i="1"/>
  <c r="H163" i="1" s="1"/>
  <c r="H164" i="1" s="1"/>
  <c r="H165" i="1" s="1"/>
  <c r="G161" i="1"/>
  <c r="G163" i="1" s="1"/>
  <c r="F161" i="1"/>
  <c r="F163" i="1" s="1"/>
  <c r="E161" i="1"/>
  <c r="E163" i="1" s="1"/>
  <c r="D161" i="1"/>
  <c r="D163" i="1" s="1"/>
  <c r="C161" i="1"/>
  <c r="C163" i="1" s="1"/>
  <c r="B161" i="1"/>
  <c r="B163" i="1" s="1"/>
  <c r="I125" i="1"/>
  <c r="H154" i="1"/>
  <c r="E154" i="1"/>
  <c r="I150" i="1"/>
  <c r="I153" i="1" s="1"/>
  <c r="I154" i="1" s="1"/>
  <c r="H150" i="1"/>
  <c r="H153" i="1" s="1"/>
  <c r="G150" i="1"/>
  <c r="G153" i="1" s="1"/>
  <c r="G154" i="1" s="1"/>
  <c r="F150" i="1"/>
  <c r="F153" i="1" s="1"/>
  <c r="F154" i="1" s="1"/>
  <c r="E150" i="1"/>
  <c r="E153" i="1" s="1"/>
  <c r="D150" i="1"/>
  <c r="D153" i="1" s="1"/>
  <c r="D154" i="1" s="1"/>
  <c r="C150" i="1"/>
  <c r="C153" i="1" s="1"/>
  <c r="C154" i="1" s="1"/>
  <c r="B150" i="1"/>
  <c r="B153" i="1" s="1"/>
  <c r="B154" i="1" s="1"/>
  <c r="L25" i="3" l="1"/>
  <c r="K24" i="3"/>
  <c r="H47" i="4"/>
  <c r="H6" i="4"/>
  <c r="H9" i="3"/>
  <c r="F47" i="4"/>
  <c r="F6" i="4"/>
  <c r="F9" i="3"/>
  <c r="I36" i="3"/>
  <c r="I5" i="3"/>
  <c r="E5" i="4"/>
  <c r="E11" i="3"/>
  <c r="E6" i="3"/>
  <c r="E7" i="3"/>
  <c r="D5" i="4"/>
  <c r="D11" i="3"/>
  <c r="D6" i="3"/>
  <c r="D7" i="3"/>
  <c r="B47" i="4"/>
  <c r="B6" i="4"/>
  <c r="B9" i="3"/>
  <c r="G47" i="4"/>
  <c r="G6" i="4"/>
  <c r="G9" i="3"/>
  <c r="K23" i="3"/>
  <c r="F5" i="4"/>
  <c r="F11" i="3"/>
  <c r="F6" i="3"/>
  <c r="B36" i="3"/>
  <c r="B5" i="3"/>
  <c r="C6" i="3" s="1"/>
  <c r="L29" i="3"/>
  <c r="L28" i="3" s="1"/>
  <c r="L27" i="3" s="1"/>
  <c r="C5" i="4"/>
  <c r="C11" i="3"/>
  <c r="C7" i="3"/>
  <c r="H5" i="4"/>
  <c r="H11" i="3"/>
  <c r="H6" i="3"/>
  <c r="D47" i="4"/>
  <c r="D6" i="4"/>
  <c r="D10" i="3"/>
  <c r="D9" i="3"/>
  <c r="C47" i="4"/>
  <c r="C6" i="4"/>
  <c r="C9" i="3"/>
  <c r="C10" i="3"/>
  <c r="E47" i="4"/>
  <c r="E6" i="4"/>
  <c r="E9" i="3"/>
  <c r="E10" i="3"/>
  <c r="G5" i="4"/>
  <c r="G11" i="3"/>
  <c r="G6" i="3"/>
  <c r="I47" i="4"/>
  <c r="I6" i="4"/>
  <c r="I9" i="3"/>
  <c r="J3" i="3"/>
  <c r="J214" i="3"/>
  <c r="J154" i="3"/>
  <c r="J210" i="3"/>
  <c r="J102" i="3"/>
  <c r="J133" i="3"/>
  <c r="J189" i="3"/>
  <c r="J193" i="3"/>
  <c r="J158" i="3"/>
  <c r="J106" i="3"/>
  <c r="B164" i="1"/>
  <c r="B165" i="1" s="1"/>
  <c r="M41" i="3"/>
  <c r="C36" i="3"/>
  <c r="G36" i="3"/>
  <c r="H36" i="3"/>
  <c r="D36" i="3"/>
  <c r="F36" i="3"/>
  <c r="E36" i="3"/>
  <c r="L32" i="3"/>
  <c r="L31" i="3" s="1"/>
  <c r="M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G107" i="1"/>
  <c r="G21" i="3" s="1"/>
  <c r="G3" i="3" s="1"/>
  <c r="F107" i="1"/>
  <c r="F21" i="3" s="1"/>
  <c r="E107" i="1"/>
  <c r="E21" i="3" s="1"/>
  <c r="E3" i="3" s="1"/>
  <c r="D107" i="1"/>
  <c r="D21" i="3" s="1"/>
  <c r="D3" i="3" s="1"/>
  <c r="C107" i="1"/>
  <c r="C21" i="3" s="1"/>
  <c r="C3" i="3" s="1"/>
  <c r="B107" i="1"/>
  <c r="B21" i="3" s="1"/>
  <c r="I107" i="1"/>
  <c r="I21" i="3" s="1"/>
  <c r="I139" i="1"/>
  <c r="I142" i="1" s="1"/>
  <c r="H139" i="1"/>
  <c r="H142" i="1" s="1"/>
  <c r="G139" i="1"/>
  <c r="G142" i="1" s="1"/>
  <c r="F139" i="1"/>
  <c r="F142" i="1" s="1"/>
  <c r="E139" i="1"/>
  <c r="E142" i="1" s="1"/>
  <c r="D139" i="1"/>
  <c r="D142" i="1" s="1"/>
  <c r="C139" i="1"/>
  <c r="C142" i="1" s="1"/>
  <c r="B139" i="1"/>
  <c r="B142" i="1" s="1"/>
  <c r="G3" i="4" l="1"/>
  <c r="G19" i="3"/>
  <c r="G16" i="3"/>
  <c r="D46" i="4"/>
  <c r="D49" i="4" s="1"/>
  <c r="D7" i="4"/>
  <c r="D13" i="3"/>
  <c r="D12" i="3"/>
  <c r="I5" i="4"/>
  <c r="I11" i="3"/>
  <c r="I6" i="3"/>
  <c r="I7" i="3"/>
  <c r="G7" i="3"/>
  <c r="I50" i="3"/>
  <c r="J50" i="3" s="1"/>
  <c r="J48" i="3" s="1"/>
  <c r="J49" i="3" s="1"/>
  <c r="I3" i="3"/>
  <c r="L23" i="3"/>
  <c r="B37" i="3"/>
  <c r="B3" i="3"/>
  <c r="H46" i="4"/>
  <c r="H49" i="4" s="1"/>
  <c r="H7" i="4"/>
  <c r="H12" i="3"/>
  <c r="E46" i="4"/>
  <c r="E49" i="4" s="1"/>
  <c r="E7" i="4"/>
  <c r="E13" i="3"/>
  <c r="E12" i="3"/>
  <c r="F37" i="3"/>
  <c r="F3" i="3"/>
  <c r="G4" i="3" s="1"/>
  <c r="B5" i="4"/>
  <c r="B11" i="3"/>
  <c r="B6" i="3"/>
  <c r="B7" i="3"/>
  <c r="H37" i="3"/>
  <c r="H3" i="3"/>
  <c r="G46" i="4"/>
  <c r="G49" i="4" s="1"/>
  <c r="G7" i="4"/>
  <c r="G12" i="3"/>
  <c r="G13" i="3"/>
  <c r="F46" i="4"/>
  <c r="F49" i="4" s="1"/>
  <c r="F7" i="4"/>
  <c r="F12" i="3"/>
  <c r="F13" i="3"/>
  <c r="K21" i="3"/>
  <c r="K189" i="3" s="1"/>
  <c r="G10" i="3"/>
  <c r="C3" i="4"/>
  <c r="C4" i="3"/>
  <c r="C19" i="3"/>
  <c r="C16" i="3"/>
  <c r="M29" i="3"/>
  <c r="D3" i="4"/>
  <c r="D4" i="3"/>
  <c r="D19" i="3"/>
  <c r="D16" i="3"/>
  <c r="C46" i="4"/>
  <c r="C49" i="4" s="1"/>
  <c r="C7" i="4"/>
  <c r="C12" i="3"/>
  <c r="C13" i="3"/>
  <c r="E3" i="4"/>
  <c r="E4" i="3"/>
  <c r="E19" i="3"/>
  <c r="E16" i="3"/>
  <c r="M25" i="3"/>
  <c r="L24" i="3"/>
  <c r="J4" i="3"/>
  <c r="J3" i="4"/>
  <c r="J23" i="4" s="1"/>
  <c r="J38" i="3"/>
  <c r="J8" i="3" s="1"/>
  <c r="J17" i="3"/>
  <c r="K3" i="3"/>
  <c r="K154" i="3"/>
  <c r="K102" i="3"/>
  <c r="K210" i="3"/>
  <c r="K133" i="3"/>
  <c r="C50" i="3"/>
  <c r="C22" i="3"/>
  <c r="C44" i="3"/>
  <c r="C47" i="3"/>
  <c r="C40" i="3"/>
  <c r="D50" i="3"/>
  <c r="D44" i="3"/>
  <c r="D40" i="3"/>
  <c r="D22" i="3"/>
  <c r="D47" i="3"/>
  <c r="E50" i="3"/>
  <c r="E22" i="3"/>
  <c r="E40" i="3"/>
  <c r="E44" i="3"/>
  <c r="E47" i="3"/>
  <c r="B22" i="3"/>
  <c r="B50" i="3"/>
  <c r="B44" i="3"/>
  <c r="B47" i="3"/>
  <c r="B40" i="3"/>
  <c r="G44" i="3"/>
  <c r="G50" i="3"/>
  <c r="G22" i="3"/>
  <c r="G47" i="3"/>
  <c r="G40" i="3"/>
  <c r="N41" i="3"/>
  <c r="E37" i="3"/>
  <c r="G37" i="3"/>
  <c r="D37" i="3"/>
  <c r="F50" i="3"/>
  <c r="F44" i="3"/>
  <c r="F47" i="3"/>
  <c r="F40" i="3"/>
  <c r="F22" i="3"/>
  <c r="H50" i="3"/>
  <c r="H22" i="3"/>
  <c r="H47" i="3"/>
  <c r="H44" i="3"/>
  <c r="H40" i="3"/>
  <c r="K50" i="3"/>
  <c r="K48" i="3" s="1"/>
  <c r="K49" i="3" s="1"/>
  <c r="C37" i="3"/>
  <c r="I22" i="3"/>
  <c r="I44" i="3"/>
  <c r="J22" i="3"/>
  <c r="I40" i="3"/>
  <c r="I47" i="3"/>
  <c r="J47" i="3" s="1"/>
  <c r="K47" i="3" s="1"/>
  <c r="L47" i="3" s="1"/>
  <c r="M47" i="3" s="1"/>
  <c r="N47" i="3" s="1"/>
  <c r="I37" i="3"/>
  <c r="J37" i="3" s="1"/>
  <c r="M32" i="3"/>
  <c r="M31" i="3" s="1"/>
  <c r="N33" i="3"/>
  <c r="N32" i="3" s="1"/>
  <c r="L21" i="3"/>
  <c r="M28" i="3"/>
  <c r="M27" i="3" s="1"/>
  <c r="N29" i="3"/>
  <c r="N28" i="3" s="1"/>
  <c r="H124" i="1"/>
  <c r="H132" i="1" s="1"/>
  <c r="C124" i="1"/>
  <c r="I124" i="1"/>
  <c r="E124" i="1"/>
  <c r="F124" i="1"/>
  <c r="D124" i="1"/>
  <c r="B124" i="1"/>
  <c r="G124" i="1"/>
  <c r="J51" i="4" l="1"/>
  <c r="C54" i="4"/>
  <c r="C53" i="4"/>
  <c r="F53" i="4"/>
  <c r="F54" i="4"/>
  <c r="G53" i="4"/>
  <c r="G54" i="4"/>
  <c r="F55" i="4"/>
  <c r="F66" i="4" s="1"/>
  <c r="F68" i="4" s="1"/>
  <c r="F69" i="4" s="1"/>
  <c r="C55" i="4"/>
  <c r="C66" i="4" s="1"/>
  <c r="C68" i="4" s="1"/>
  <c r="C69" i="4" s="1"/>
  <c r="D54" i="4"/>
  <c r="D53" i="4"/>
  <c r="E53" i="4"/>
  <c r="E54" i="4"/>
  <c r="H53" i="4"/>
  <c r="H54" i="4"/>
  <c r="I46" i="4"/>
  <c r="I49" i="4" s="1"/>
  <c r="I7" i="4"/>
  <c r="I12" i="3"/>
  <c r="I13" i="3"/>
  <c r="H3" i="4"/>
  <c r="H9" i="4" s="1"/>
  <c r="H4" i="3"/>
  <c r="H19" i="3"/>
  <c r="H16" i="3"/>
  <c r="H10" i="3"/>
  <c r="H7" i="3"/>
  <c r="E24" i="4"/>
  <c r="T23" i="4" s="1"/>
  <c r="E4" i="4"/>
  <c r="T4" i="4" s="1"/>
  <c r="H13" i="3"/>
  <c r="C9" i="4"/>
  <c r="B46" i="4"/>
  <c r="B49" i="4" s="1"/>
  <c r="B7" i="4"/>
  <c r="B13" i="3"/>
  <c r="B12" i="3"/>
  <c r="B3" i="4"/>
  <c r="C4" i="4" s="1"/>
  <c r="R4" i="4" s="1"/>
  <c r="B4" i="3"/>
  <c r="B16" i="3"/>
  <c r="B19" i="3"/>
  <c r="B10" i="3"/>
  <c r="D9" i="4"/>
  <c r="D8" i="4"/>
  <c r="G9" i="4"/>
  <c r="G8" i="4"/>
  <c r="E9" i="4"/>
  <c r="E8" i="4"/>
  <c r="F8" i="4"/>
  <c r="C24" i="4"/>
  <c r="R23" i="4" s="1"/>
  <c r="K158" i="3"/>
  <c r="M23" i="3"/>
  <c r="N23" i="3" s="1"/>
  <c r="K22" i="3"/>
  <c r="K193" i="3"/>
  <c r="K106" i="3"/>
  <c r="H8" i="4"/>
  <c r="F3" i="4"/>
  <c r="G4" i="4" s="1"/>
  <c r="V4" i="4" s="1"/>
  <c r="F4" i="3"/>
  <c r="F19" i="3"/>
  <c r="F16" i="3"/>
  <c r="F7" i="3"/>
  <c r="F10" i="3"/>
  <c r="K214" i="3"/>
  <c r="I3" i="4"/>
  <c r="I4" i="3"/>
  <c r="I19" i="3"/>
  <c r="I16" i="3"/>
  <c r="I10" i="3"/>
  <c r="N25" i="3"/>
  <c r="N24" i="3" s="1"/>
  <c r="M24" i="3"/>
  <c r="D4" i="4"/>
  <c r="S4" i="4" s="1"/>
  <c r="D24" i="4"/>
  <c r="S23" i="4" s="1"/>
  <c r="G24" i="4"/>
  <c r="V23" i="4" s="1"/>
  <c r="K4" i="3"/>
  <c r="K3" i="4"/>
  <c r="K23" i="4" s="1"/>
  <c r="J18" i="3"/>
  <c r="J19" i="3"/>
  <c r="J9" i="3"/>
  <c r="J10" i="3"/>
  <c r="K38" i="3"/>
  <c r="K8" i="3" s="1"/>
  <c r="K17" i="3"/>
  <c r="L3" i="3"/>
  <c r="L154" i="3"/>
  <c r="L102" i="3"/>
  <c r="L210" i="3"/>
  <c r="L214" i="3"/>
  <c r="L133" i="3"/>
  <c r="L106" i="3"/>
  <c r="L189" i="3"/>
  <c r="L158" i="3"/>
  <c r="L193" i="3"/>
  <c r="L50" i="3"/>
  <c r="L48" i="3" s="1"/>
  <c r="L49" i="3" s="1"/>
  <c r="N31" i="3"/>
  <c r="K37" i="3"/>
  <c r="J35" i="3"/>
  <c r="J5" i="3" s="1"/>
  <c r="L22" i="3"/>
  <c r="N27" i="3"/>
  <c r="E132" i="1"/>
  <c r="G132" i="1"/>
  <c r="D132" i="1"/>
  <c r="F132" i="1"/>
  <c r="I131" i="1"/>
  <c r="B132" i="1" s="1"/>
  <c r="C132" i="1"/>
  <c r="G97" i="1"/>
  <c r="F97" i="1"/>
  <c r="E97" i="1"/>
  <c r="D97" i="1"/>
  <c r="C97" i="1"/>
  <c r="B97" i="1"/>
  <c r="H92" i="1"/>
  <c r="G92" i="1"/>
  <c r="F92" i="1"/>
  <c r="E92" i="1"/>
  <c r="D92" i="1"/>
  <c r="C92" i="1"/>
  <c r="B92" i="1"/>
  <c r="I92" i="1"/>
  <c r="I83"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B4" i="1"/>
  <c r="I4" i="1"/>
  <c r="K51" i="4" l="1"/>
  <c r="G55" i="4"/>
  <c r="G66" i="4" s="1"/>
  <c r="G68" i="4" s="1"/>
  <c r="G69" i="4" s="1"/>
  <c r="D55" i="4"/>
  <c r="D66" i="4" s="1"/>
  <c r="D68" i="4" s="1"/>
  <c r="D69" i="4" s="1"/>
  <c r="B53" i="4"/>
  <c r="B54" i="4"/>
  <c r="B55" i="4" s="1"/>
  <c r="B66" i="4" s="1"/>
  <c r="B68" i="4" s="1"/>
  <c r="B69" i="4" s="1"/>
  <c r="I53" i="4"/>
  <c r="I54" i="4"/>
  <c r="H55" i="4"/>
  <c r="H66" i="4" s="1"/>
  <c r="H68" i="4" s="1"/>
  <c r="H69" i="4" s="1"/>
  <c r="E55" i="4"/>
  <c r="E66" i="4" s="1"/>
  <c r="E68" i="4" s="1"/>
  <c r="E69" i="4" s="1"/>
  <c r="B24" i="4"/>
  <c r="Q23" i="4" s="1"/>
  <c r="B4" i="4"/>
  <c r="Q4" i="4" s="1"/>
  <c r="F24" i="4"/>
  <c r="U23" i="4" s="1"/>
  <c r="F4" i="4"/>
  <c r="U4" i="4" s="1"/>
  <c r="B9" i="4"/>
  <c r="F9" i="4"/>
  <c r="B8" i="4"/>
  <c r="C8" i="4"/>
  <c r="I9" i="4"/>
  <c r="I8" i="4"/>
  <c r="H24" i="4"/>
  <c r="W23" i="4" s="1"/>
  <c r="H4" i="4"/>
  <c r="W4" i="4" s="1"/>
  <c r="I24" i="4"/>
  <c r="X23" i="4" s="1"/>
  <c r="I4" i="4"/>
  <c r="X4" i="4" s="1"/>
  <c r="M21" i="3"/>
  <c r="L4" i="3"/>
  <c r="L3" i="4"/>
  <c r="J11" i="3"/>
  <c r="J6" i="3"/>
  <c r="J7" i="3"/>
  <c r="K18" i="3"/>
  <c r="K19" i="3"/>
  <c r="L38" i="3"/>
  <c r="L8" i="3" s="1"/>
  <c r="L17" i="3"/>
  <c r="K9" i="3"/>
  <c r="K10" i="3"/>
  <c r="M3" i="3"/>
  <c r="M154" i="3"/>
  <c r="M210" i="3"/>
  <c r="M102" i="3"/>
  <c r="M106" i="3"/>
  <c r="M189" i="3"/>
  <c r="M214" i="3"/>
  <c r="M133" i="3"/>
  <c r="M158" i="3"/>
  <c r="M193" i="3"/>
  <c r="F59" i="1"/>
  <c r="G59" i="1"/>
  <c r="H59" i="1"/>
  <c r="J36" i="3"/>
  <c r="J42" i="3"/>
  <c r="B10" i="1"/>
  <c r="B12" i="1" s="1"/>
  <c r="B20" i="1" s="1"/>
  <c r="I10" i="1"/>
  <c r="I12" i="1" s="1"/>
  <c r="I20" i="1" s="1"/>
  <c r="C10" i="1"/>
  <c r="C12" i="1" s="1"/>
  <c r="C20" i="1" s="1"/>
  <c r="C59" i="1"/>
  <c r="C60" i="1" s="1"/>
  <c r="D59" i="1"/>
  <c r="D60" i="1" s="1"/>
  <c r="M50" i="3"/>
  <c r="M48" i="3" s="1"/>
  <c r="M49" i="3" s="1"/>
  <c r="B59" i="1"/>
  <c r="B60" i="1" s="1"/>
  <c r="D10" i="1"/>
  <c r="D143" i="1" s="1"/>
  <c r="E10" i="1"/>
  <c r="E143" i="1" s="1"/>
  <c r="E59" i="1"/>
  <c r="E60" i="1" s="1"/>
  <c r="N21" i="3"/>
  <c r="L37" i="3"/>
  <c r="K35" i="3"/>
  <c r="K5" i="3" s="1"/>
  <c r="M22" i="3"/>
  <c r="N22" i="3"/>
  <c r="F12" i="1"/>
  <c r="F20" i="1" s="1"/>
  <c r="F143" i="1"/>
  <c r="H12" i="1"/>
  <c r="H20" i="1" s="1"/>
  <c r="H143" i="1"/>
  <c r="I143" i="1"/>
  <c r="E94" i="1"/>
  <c r="D94" i="1"/>
  <c r="C94" i="1"/>
  <c r="B94" i="1"/>
  <c r="F94" i="1"/>
  <c r="G94" i="1"/>
  <c r="H64" i="1"/>
  <c r="H76" i="1" s="1"/>
  <c r="H94" i="1" s="1"/>
  <c r="F60" i="1"/>
  <c r="G10" i="1"/>
  <c r="I59" i="1"/>
  <c r="I60" i="1" s="1"/>
  <c r="G60" i="1"/>
  <c r="H60" i="1"/>
  <c r="I55" i="4" l="1"/>
  <c r="I66" i="4" s="1"/>
  <c r="I68" i="4" s="1"/>
  <c r="P4" i="4"/>
  <c r="L4" i="4"/>
  <c r="L23" i="4"/>
  <c r="P23" i="4"/>
  <c r="M4" i="3"/>
  <c r="M3" i="4"/>
  <c r="L9" i="3"/>
  <c r="L10" i="3"/>
  <c r="M38" i="3"/>
  <c r="M8" i="3" s="1"/>
  <c r="M17" i="3"/>
  <c r="K11" i="3"/>
  <c r="K6" i="3"/>
  <c r="K7" i="3"/>
  <c r="N3" i="3"/>
  <c r="N154" i="3"/>
  <c r="N133" i="3"/>
  <c r="N189" i="3"/>
  <c r="N106" i="3"/>
  <c r="N210" i="3"/>
  <c r="N102" i="3"/>
  <c r="N214" i="3"/>
  <c r="N193" i="3"/>
  <c r="N158" i="3"/>
  <c r="L18" i="3"/>
  <c r="L19" i="3"/>
  <c r="J13" i="3"/>
  <c r="J12" i="3"/>
  <c r="E12" i="1"/>
  <c r="E20" i="1" s="1"/>
  <c r="D12" i="1"/>
  <c r="D20" i="1" s="1"/>
  <c r="C143" i="1"/>
  <c r="B143" i="1"/>
  <c r="K36" i="3"/>
  <c r="K42" i="3"/>
  <c r="N50" i="3"/>
  <c r="N48" i="3"/>
  <c r="N49" i="3" s="1"/>
  <c r="J43" i="3"/>
  <c r="J44" i="3"/>
  <c r="M37" i="3"/>
  <c r="L35" i="3"/>
  <c r="L5" i="3" s="1"/>
  <c r="I64" i="1"/>
  <c r="I76" i="1" s="1"/>
  <c r="I94" i="1" s="1"/>
  <c r="G12" i="1"/>
  <c r="G20" i="1" s="1"/>
  <c r="G143" i="1"/>
  <c r="I95" i="1"/>
  <c r="I96" i="1" s="1"/>
  <c r="I97" i="1" s="1"/>
  <c r="H97" i="1"/>
  <c r="L51" i="4" l="1"/>
  <c r="I69" i="4"/>
  <c r="J67" i="4"/>
  <c r="M4" i="4"/>
  <c r="M23" i="4"/>
  <c r="N4" i="3"/>
  <c r="N3" i="4"/>
  <c r="N38" i="3"/>
  <c r="N8" i="3" s="1"/>
  <c r="N17" i="3"/>
  <c r="K12" i="3"/>
  <c r="K13" i="3"/>
  <c r="M9" i="3"/>
  <c r="M10" i="3"/>
  <c r="L11" i="3"/>
  <c r="L7" i="3"/>
  <c r="L6" i="3"/>
  <c r="M19" i="3"/>
  <c r="M18" i="3"/>
  <c r="K43" i="3"/>
  <c r="K44" i="3"/>
  <c r="L36" i="3"/>
  <c r="L42" i="3"/>
  <c r="N37" i="3"/>
  <c r="N35" i="3" s="1"/>
  <c r="N5" i="3" s="1"/>
  <c r="M35" i="3"/>
  <c r="M5" i="3" s="1"/>
  <c r="H1" i="1"/>
  <c r="G1" i="1" s="1"/>
  <c r="F1" i="1" s="1"/>
  <c r="E1" i="1" s="1"/>
  <c r="D1" i="1" s="1"/>
  <c r="C1" i="1" s="1"/>
  <c r="B1" i="1" s="1"/>
  <c r="M51" i="4" l="1"/>
  <c r="N4" i="4"/>
  <c r="N23" i="4"/>
  <c r="N51" i="4" s="1"/>
  <c r="N42" i="3"/>
  <c r="N44" i="3" s="1"/>
  <c r="L12" i="3"/>
  <c r="L13" i="3"/>
  <c r="M11" i="3"/>
  <c r="M6" i="3"/>
  <c r="M7" i="3"/>
  <c r="N19" i="3"/>
  <c r="N18" i="3"/>
  <c r="N9" i="3"/>
  <c r="N10" i="3"/>
  <c r="L44" i="3"/>
  <c r="L43" i="3"/>
  <c r="M36" i="3"/>
  <c r="M42" i="3"/>
  <c r="N36" i="3"/>
  <c r="M12" i="3" l="1"/>
  <c r="M13" i="3"/>
  <c r="N11" i="3"/>
  <c r="N7" i="3"/>
  <c r="N6" i="3"/>
  <c r="M44" i="3"/>
  <c r="M43" i="3"/>
  <c r="N43" i="3"/>
  <c r="K39" i="3"/>
  <c r="M39" i="3"/>
  <c r="N39" i="3"/>
  <c r="M40" i="3"/>
  <c r="N40" i="3"/>
  <c r="K40" i="3"/>
  <c r="J39" i="3"/>
  <c r="L39" i="3"/>
  <c r="J40" i="3"/>
  <c r="L40" i="3"/>
  <c r="N12" i="3" l="1"/>
  <c r="N13" i="3"/>
  <c r="N45" i="3" l="1"/>
  <c r="M45" i="3"/>
  <c r="M14" i="3" s="1"/>
  <c r="L45" i="3"/>
  <c r="L14" i="3" s="1"/>
  <c r="K45" i="3"/>
  <c r="K14" i="3" s="1"/>
  <c r="J45" i="3"/>
  <c r="J14" i="3" s="1"/>
  <c r="J15" i="3" s="1"/>
  <c r="J46" i="3"/>
  <c r="N46" i="3" l="1"/>
  <c r="K16" i="3"/>
  <c r="K15" i="3"/>
  <c r="L16" i="3"/>
  <c r="L15" i="3"/>
  <c r="M16" i="3"/>
  <c r="M15" i="3"/>
  <c r="M46" i="3"/>
  <c r="N14" i="3"/>
  <c r="J16" i="3"/>
  <c r="L46" i="3"/>
  <c r="K46" i="3"/>
  <c r="N15" i="3" l="1"/>
  <c r="N16" i="3"/>
  <c r="K4" i="4"/>
  <c r="J4" i="4"/>
  <c r="J57" i="4" l="1"/>
  <c r="K57" i="4" s="1"/>
  <c r="L57" i="4" s="1"/>
  <c r="M57" i="4" s="1"/>
  <c r="N57" i="4" s="1"/>
  <c r="J65" i="4"/>
  <c r="K65" i="4" s="1"/>
  <c r="L65" i="4" s="1"/>
  <c r="M65" i="4" s="1"/>
  <c r="N65" i="4" s="1"/>
  <c r="J52" i="4"/>
  <c r="J48" i="4"/>
  <c r="K48" i="4" s="1"/>
  <c r="L48" i="4" s="1"/>
  <c r="M48" i="4" s="1"/>
  <c r="N48" i="4" s="1"/>
  <c r="J50" i="4"/>
  <c r="J63" i="4"/>
  <c r="K63" i="4" s="1"/>
  <c r="L63" i="4" s="1"/>
  <c r="M63" i="4" s="1"/>
  <c r="N63" i="4" s="1"/>
  <c r="J42" i="4"/>
  <c r="K42" i="4" s="1"/>
  <c r="L42" i="4" s="1"/>
  <c r="M42" i="4" s="1"/>
  <c r="N42" i="4" s="1"/>
  <c r="J35" i="4"/>
  <c r="K35" i="4" s="1"/>
  <c r="L35" i="4" s="1"/>
  <c r="M35" i="4" s="1"/>
  <c r="N35" i="4" s="1"/>
  <c r="J38" i="4"/>
  <c r="K38" i="4" s="1"/>
  <c r="L38" i="4" s="1"/>
  <c r="M38" i="4" s="1"/>
  <c r="N38" i="4" s="1"/>
  <c r="J40" i="4"/>
  <c r="J37" i="4"/>
  <c r="K37" i="4" s="1"/>
  <c r="L37" i="4" s="1"/>
  <c r="M37" i="4" s="1"/>
  <c r="N37" i="4" s="1"/>
  <c r="J29" i="4"/>
  <c r="K29" i="4" s="1"/>
  <c r="L29" i="4" s="1"/>
  <c r="M29" i="4" s="1"/>
  <c r="N29" i="4" s="1"/>
  <c r="J22" i="4"/>
  <c r="K22" i="4" s="1"/>
  <c r="L22" i="4" s="1"/>
  <c r="M22" i="4" s="1"/>
  <c r="N22" i="4" s="1"/>
  <c r="J54" i="4"/>
  <c r="J33" i="4"/>
  <c r="J25" i="4"/>
  <c r="K25" i="4" s="1"/>
  <c r="L25" i="4" s="1"/>
  <c r="M25" i="4" s="1"/>
  <c r="N25" i="4" s="1"/>
  <c r="J27" i="4"/>
  <c r="K27" i="4" s="1"/>
  <c r="L27" i="4" s="1"/>
  <c r="M27" i="4" s="1"/>
  <c r="N27" i="4" s="1"/>
  <c r="J28" i="4"/>
  <c r="K28" i="4" s="1"/>
  <c r="L28" i="4" s="1"/>
  <c r="M28" i="4" s="1"/>
  <c r="N28" i="4" s="1"/>
  <c r="J6" i="4"/>
  <c r="J11" i="4"/>
  <c r="J12" i="4" s="1"/>
  <c r="J10" i="4"/>
  <c r="K10" i="4" s="1"/>
  <c r="L10" i="4" s="1"/>
  <c r="M10" i="4" s="1"/>
  <c r="N10" i="4" s="1"/>
  <c r="J5" i="4"/>
  <c r="K5" i="4" s="1"/>
  <c r="L5" i="4" s="1"/>
  <c r="M5" i="4" s="1"/>
  <c r="N5" i="4" s="1"/>
  <c r="J7" i="4"/>
  <c r="J46" i="4" s="1"/>
  <c r="J49" i="4" s="1"/>
  <c r="K6" i="4" l="1"/>
  <c r="J47" i="4"/>
  <c r="J55" i="4" s="1"/>
  <c r="K50" i="4"/>
  <c r="L50" i="4" s="1"/>
  <c r="M50" i="4" s="1"/>
  <c r="N50" i="4" s="1"/>
  <c r="K52" i="4"/>
  <c r="J56" i="4"/>
  <c r="K56" i="4" s="1"/>
  <c r="L56" i="4" s="1"/>
  <c r="M56" i="4" s="1"/>
  <c r="N56" i="4" s="1"/>
  <c r="J58" i="4"/>
  <c r="K40" i="4"/>
  <c r="K54" i="4"/>
  <c r="L54" i="4" s="1"/>
  <c r="M54" i="4" s="1"/>
  <c r="N54" i="4" s="1"/>
  <c r="K33" i="4"/>
  <c r="J32" i="4"/>
  <c r="J14" i="4"/>
  <c r="K11" i="4"/>
  <c r="K12" i="4" s="1"/>
  <c r="K7" i="4"/>
  <c r="K46" i="4" s="1"/>
  <c r="K49" i="4" s="1"/>
  <c r="J9" i="4"/>
  <c r="J8" i="4"/>
  <c r="L40" i="4" l="1"/>
  <c r="L52" i="4"/>
  <c r="K58" i="4"/>
  <c r="L6" i="4"/>
  <c r="K47" i="4"/>
  <c r="K55" i="4" s="1"/>
  <c r="J53" i="4"/>
  <c r="L33" i="4"/>
  <c r="K32" i="4"/>
  <c r="L11" i="4"/>
  <c r="L12" i="4" s="1"/>
  <c r="J17" i="4"/>
  <c r="J16" i="4"/>
  <c r="L7" i="4"/>
  <c r="L46" i="4" s="1"/>
  <c r="L49" i="4" s="1"/>
  <c r="K9" i="4"/>
  <c r="K8" i="4"/>
  <c r="M6" i="4" l="1"/>
  <c r="L47" i="4"/>
  <c r="L55" i="4" s="1"/>
  <c r="J18" i="4"/>
  <c r="J61" i="4"/>
  <c r="K53" i="4"/>
  <c r="M40" i="4"/>
  <c r="M52" i="4"/>
  <c r="L58" i="4"/>
  <c r="M33" i="4"/>
  <c r="L32" i="4"/>
  <c r="M11" i="4"/>
  <c r="M12" i="4" s="1"/>
  <c r="L8" i="4"/>
  <c r="L9" i="4"/>
  <c r="M7" i="4"/>
  <c r="M46" i="4" s="1"/>
  <c r="M49" i="4" s="1"/>
  <c r="J64" i="4" l="1"/>
  <c r="J66" i="4" s="1"/>
  <c r="J68" i="4" s="1"/>
  <c r="J41" i="4"/>
  <c r="J39" i="4" s="1"/>
  <c r="J43" i="4" s="1"/>
  <c r="N52" i="4"/>
  <c r="N58" i="4" s="1"/>
  <c r="M58" i="4"/>
  <c r="N6" i="4"/>
  <c r="N47" i="4" s="1"/>
  <c r="M47" i="4"/>
  <c r="M55" i="4" s="1"/>
  <c r="M53" i="4"/>
  <c r="N40" i="4"/>
  <c r="L53" i="4"/>
  <c r="N33" i="4"/>
  <c r="N32" i="4" s="1"/>
  <c r="M32" i="4"/>
  <c r="N11" i="4"/>
  <c r="N12" i="4" s="1"/>
  <c r="N7" i="4"/>
  <c r="N46" i="4" s="1"/>
  <c r="N49" i="4" s="1"/>
  <c r="N53" i="4" s="1"/>
  <c r="M9" i="4"/>
  <c r="M8" i="4"/>
  <c r="N55" i="4" l="1"/>
  <c r="J21" i="4"/>
  <c r="K67" i="4"/>
  <c r="J69" i="4"/>
  <c r="N9" i="4"/>
  <c r="N8" i="4"/>
  <c r="K14" i="4"/>
  <c r="K16" i="4" l="1"/>
  <c r="J31" i="4"/>
  <c r="J70" i="4"/>
  <c r="K17" i="4"/>
  <c r="L14" i="4"/>
  <c r="K18" i="4" l="1"/>
  <c r="K61" i="4"/>
  <c r="L16" i="4"/>
  <c r="L17" i="4"/>
  <c r="M14" i="4"/>
  <c r="L18" i="4" l="1"/>
  <c r="L61" i="4"/>
  <c r="K64" i="4"/>
  <c r="K66" i="4" s="1"/>
  <c r="K68" i="4" s="1"/>
  <c r="K41" i="4"/>
  <c r="K39" i="4" s="1"/>
  <c r="K43" i="4" s="1"/>
  <c r="M16" i="4"/>
  <c r="M17" i="4"/>
  <c r="N14" i="4"/>
  <c r="L67" i="4" l="1"/>
  <c r="K21" i="4"/>
  <c r="K69" i="4"/>
  <c r="M18" i="4"/>
  <c r="M61" i="4"/>
  <c r="L64" i="4"/>
  <c r="L66" i="4" s="1"/>
  <c r="L41" i="4"/>
  <c r="L39" i="4" s="1"/>
  <c r="L43" i="4" s="1"/>
  <c r="N16" i="4"/>
  <c r="N17" i="4"/>
  <c r="M64" i="4" l="1"/>
  <c r="M66" i="4" s="1"/>
  <c r="M41" i="4"/>
  <c r="M39" i="4" s="1"/>
  <c r="M43" i="4" s="1"/>
  <c r="L68" i="4"/>
  <c r="K31" i="4"/>
  <c r="K70" i="4"/>
  <c r="N18" i="4"/>
  <c r="N61" i="4"/>
  <c r="N64" i="4" l="1"/>
  <c r="N66" i="4" s="1"/>
  <c r="N41" i="4"/>
  <c r="N39" i="4" s="1"/>
  <c r="N43" i="4" s="1"/>
  <c r="L21" i="4"/>
  <c r="M67" i="4"/>
  <c r="M68" i="4" s="1"/>
  <c r="L69" i="4"/>
  <c r="L31" i="4" l="1"/>
  <c r="L70" i="4"/>
  <c r="N67" i="4"/>
  <c r="N68" i="4" s="1"/>
  <c r="M21" i="4"/>
  <c r="M69" i="4"/>
  <c r="N21" i="4" l="1"/>
  <c r="N69" i="4"/>
  <c r="M31" i="4"/>
  <c r="M70" i="4"/>
  <c r="N31" i="4" l="1"/>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<sst xmlns="http://schemas.openxmlformats.org/spreadsheetml/2006/main" count="630" uniqueCount="316">
  <si>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</si>
  <si>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</si>
  <si>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</si>
  <si>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</si>
  <si>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</si>
  <si>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</si>
  <si>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</si>
  <si>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</si>
  <si>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</si>
  <si>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</si>
  <si>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</si>
  <si>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</si>
  <si>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</si>
  <si>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</si>
  <si>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</si>
  <si>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</si>
  <si>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</si>
  <si>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</si>
  <si>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</si>
  <si>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</si>
  <si>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</si>
  <si>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</si>
  <si>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</si>
  <si>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</si>
  <si>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</si>
  <si>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</si>
  <si>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</si>
  <si>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</si>
  <si>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</si>
  <si>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</si>
  <si>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</si>
  <si>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</si>
  <si>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</si>
  <si>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</si>
  <si>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</si>
  <si>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</si>
  <si>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</si>
  <si>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</si>
  <si>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</si>
  <si>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</si>
  <si>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</si>
  <si>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</si>
  <si>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</si>
  <si>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</si>
  <si>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</si>
  <si>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</si>
  <si>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</si>
  <si>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</si>
  <si>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</si>
  <si>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</si>
  <si>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</si>
  <si>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</si>
  <si>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</si>
  <si>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</si>
  <si>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</si>
  <si>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</si>
  <si>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</si>
  <si>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</si>
  <si>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</si>
  <si>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</si>
  <si>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</si>
  <si>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</si>
  <si>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</si>
  <si>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</si>
  <si>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</si>
  <si>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</si>
  <si>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</si>
  <si>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</si>
  <si>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</si>
  <si>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</si>
  <si>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</si>
  <si>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</si>
  <si>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</si>
  <si>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</si>
  <si>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</si>
  <si>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</si>
  <si>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</si>
  <si>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</si>
  <si>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</si>
  <si>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</si>
  <si>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</si>
  <si>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</si>
  <si>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</si>
  <si>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</si>
  <si>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</si>
  <si>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</si>
  <si>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</si>
  <si>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</si>
  <si>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</si>
  <si>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</si>
  <si>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</si>
  <si>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</si>
  <si>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</si>
  <si>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</si>
  <si>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</si>
  <si>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</si>
  <si>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</si>
  <si>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</si>
  <si>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</si>
  <si>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</si>
  <si>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</si>
  <si>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</si>
  <si>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</si>
  <si>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</si>
  <si>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</si>
  <si>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</si>
  <si>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</si>
  <si>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</si>
  <si>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</si>
  <si>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</si>
  <si>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</si>
  <si>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</si>
  <si>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</si>
  <si>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</si>
  <si>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</si>
  <si>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</si>
  <si>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</si>
  <si>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</si>
  <si>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</si>
  <si>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</si>
  <si>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</si>
  <si>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</si>
  <si>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</si>
  <si>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</si>
  <si>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</si>
  <si>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</si>
  <si>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</si>
  <si>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</si>
  <si>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</si>
  <si>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</si>
  <si>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</si>
  <si>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</si>
  <si>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</si>
  <si>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</si>
  <si>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</si>
  <si>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</si>
  <si>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</si>
  <si>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</si>
  <si>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</si>
  <si>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</si>
  <si>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</si>
  <si>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</si>
  <si>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</si>
  <si>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</si>
  <si>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</si>
  <si>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</si>
  <si>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</si>
  <si>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</si>
  <si>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</si>
  <si>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</si>
  <si>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</si>
  <si>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</si>
  <si>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</si>
  <si>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</si>
  <si>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</si>
  <si>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</si>
  <si>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</si>
  <si>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</si>
  <si>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</si>
  <si>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</si>
  <si>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</si>
  <si>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</si>
  <si>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</si>
  <si>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</si>
  <si>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</si>
  <si>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</si>
  <si>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</si>
  <si>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</si>
  <si>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</si>
  <si>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</si>
  <si>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</si>
  <si>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</si>
  <si>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</si>
  <si>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</si>
  <si>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</si>
  <si>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</si>
  <si>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</si>
  <si>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</si>
  <si>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</si>
  <si>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</si>
  <si>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</si>
  <si>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</si>
  <si>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</si>
  <si>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</si>
  <si>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</si>
  <si>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</si>
  <si>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</si>
  <si>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</si>
  <si>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</si>
  <si>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</si>
  <si>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</si>
  <si>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</si>
  <si>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</si>
  <si>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</si>
  <si>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</si>
  <si>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</si>
  <si>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</si>
  <si>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</si>
  <si>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</si>
  <si>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</si>
  <si>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</si>
  <si>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</si>
  <si>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</si>
  <si>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</si>
  <si>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</si>
  <si>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</si>
  <si>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</si>
  <si>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</si>
  <si>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</si>
  <si>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n/a</t>
  </si>
  <si>
    <t>nm</t>
  </si>
  <si>
    <t>According to the anuual report of 2023, the global brand division revenue was 58,therefore, the rev.growth was -43.1 % (declined) and aussumed at the same rate for other forecasting years.</t>
  </si>
  <si>
    <t>According to the Press Release dated March 21,2024 and  the annual report -2023, The revenue from corporate was 27 in 2023 and 9 months ending Feb 29,2024 and Feb 28,2023 were 13 and (19) respectively. Therefore, it was assumed at 137.5 % decrease at the same growth rate from 2022 to 2027.</t>
  </si>
  <si>
    <t>-</t>
  </si>
  <si>
    <t>Share buyback from 2023 to 2026 is 4500 mn  each year</t>
  </si>
  <si>
    <t>No of shares opening in 2023=1611, Stock repurchase amount=4500,1year avg.share price = 112.69</t>
  </si>
  <si>
    <t>Avg.tax rate from 2019 to 2021 was 14 %</t>
  </si>
  <si>
    <t>Cash provided (used) by financing activities was an outflow of $7,447 million for fiscal 2023 compared to an outflow of $4,836</t>
  </si>
  <si>
    <t>million for fiscal 2022. The increased outflow in fiscal 2023 was driven by higher share repurchases of $5,480 million for fiscal</t>
  </si>
  <si>
    <t>2023 compared to $4,014 million for fiscal 2022, the repayment of $500 million of senior notes that matured in fiscal 2023, as well</t>
  </si>
  <si>
    <t>as lower proceeds from stock option exercises, which resulted in a cash inflow of $651 million in fiscal 2023 compared to $1,151</t>
  </si>
  <si>
    <t>million in fiscal 2022.</t>
  </si>
  <si>
    <t>In fiscal 2023, we purchased a total of 50.0 million shares of NIKE's Class B Common Stock for $5.5 billion (an average price of</t>
  </si>
  <si>
    <t>$110.32 per share). In August 2022, we terminated the previous four-year, $15 billion share repurchase program approved by the</t>
  </si>
  <si>
    <t>Board of Directors in June 2018. Under this program, we repurchased 6.5 million shares for a total approximate cost of</t>
  </si>
  <si>
    <t>$710.0 million (an average price of $109.85 per share) during the first quarter of fiscal 2023 and 83.8 million shares for a total</t>
  </si>
  <si>
    <t>authorized by the Board of Directors in June 2022. As of May 31, 2023, we had repurchased 43.5 million shares at a cost of</t>
  </si>
  <si>
    <t>approximately $4.8 billion (an average price of $110.38 per share) under this new program. We continue to expect funding of</t>
  </si>
  <si>
    <t>share repurchases will come from operating cash flows. The timing and the amount of share repurchases will be dictated by our</t>
  </si>
  <si>
    <t>capital needs and stock market conditions.</t>
  </si>
  <si>
    <t>CASH FLOW ACTIVITY</t>
  </si>
  <si>
    <t>Cash provided (used) by operations was an inflow of $5,841 million for fiscal 2023, compared to $5,188 million for fiscal 2022.</t>
  </si>
  <si>
    <t>Net income, adjusted for non-cash items, generated $6,354 million of operating cash inflow for fiscal 2023, compared to $6,848</t>
  </si>
  <si>
    <t>million for fiscal 2022. The net change in working capital and other assets and liabilities resulted in a decrease to Cash provided</t>
  </si>
  <si>
    <t>(used) by operations of $513 million for fiscal 2023 compared to a decrease of $1,660 million for fiscal 2022. For fiscal 2023, the</t>
  </si>
  <si>
    <t>net change in working capital compared to the prior year was impacted by unfavorable changes in Accounts payable, offset by</t>
  </si>
  <si>
    <t>favorable impacts from Inventories and Accounts receivable. These changes were, in part, due to reduced inventory purchases in</t>
  </si>
  <si>
    <t>the current period and timing of wholesale shipments. Further impacting these changes was a lower available supply of inventory</t>
  </si>
  <si>
    <t>in the prior year due to supply chain constraints.</t>
  </si>
  <si>
    <t>Cash provided (used) by investing activities was an inflow of $564 million for fiscal 2023, compared to an outflow of $1,524</t>
  </si>
  <si>
    <t>million for fiscal 2022, primarily driven by the net change in short-term investments. For fiscal 2023, the net change in short-term</t>
  </si>
  <si>
    <t>investments (including sales, maturities and purchases) resulted in a cash inflow of $1,481 million compared to a cash outflow of</t>
  </si>
  <si>
    <t>$747 million for fiscal 2022. Additionally, we continue to invest in our infrastructure to support future growth, specifically focused</t>
  </si>
  <si>
    <t>around digital capabilities, our end-to-end technology foundation, our corporate facilities and improvements across our supply</t>
  </si>
  <si>
    <t>chain.</t>
  </si>
  <si>
    <t>On March 11, 2022, we entered into a five-year committed credit facility agreement with a syndicate of banks which provides for</t>
  </si>
  <si>
    <t>up to $2 billion of borrowings, with the option to increase borrowings up to $3 billion in total with lender approval. The facility</t>
  </si>
  <si>
    <t>matures on March 11, 2027, with options to extend the maturity date up to an additional two years. This facility replaces the prior</t>
  </si>
  <si>
    <t>$2 billion five-year credit facility agreement entered into on August 16, 2019, which would have matured on August 16, 2024.</t>
  </si>
  <si>
    <t>Refer to Note 5 — Short-Term Borrowings and Credit Lines for additional information.</t>
  </si>
  <si>
    <t>On March 10, 2023, we entered into a 364-day committed credit facility agreement with a syndicate of banks which provides for</t>
  </si>
  <si>
    <t>up to $1 billion of borrowings, with the option to increase borrowings up to $1.5 billion in total with lender approval. The facility</t>
  </si>
  <si>
    <t>matures on March 8, 2024, with an option to extend the maturity date by 364 days. This facility replaces the prior $1 billion 364-</t>
  </si>
  <si>
    <t>day credit facility agreement entered into on March 11, 2022, which matured on March 10, 2023. Refer to Note 5 — Short-Term</t>
  </si>
  <si>
    <t>Borrowings and Credit Lines for additional information.</t>
  </si>
  <si>
    <t>We currently have long-term debt ratings of AA- and A1 from Standard and Poor's Corporation and Moody's Investor Services,</t>
  </si>
  <si>
    <t>respectively. As it relates to our committed credit facilities entered into on March 11, 2022 and March 10, 2023, if our long-term</t>
  </si>
  <si>
    <t>debt ratings were to decline, the facility fees and interest rates would increase. Conversely, if our long-term debt ratings were to</t>
  </si>
  <si>
    <t>improve, the facility fees and interest rates would decrease. Changes in our long-term debt ratings would not trigger acceleration</t>
  </si>
  <si>
    <t>of maturity of any then-outstanding borrowings or any future borrowings under the committed credit facilities. Under these</t>
  </si>
  <si>
    <t>facilities, we have agreed to various covenants. These covenants include limits on the disposal of assets and the amount of debt</t>
  </si>
  <si>
    <t>secured by liens we may incur. In the event we were to have any borrowings outstanding under these facilities, failed to meet any</t>
  </si>
  <si>
    <t>covenant and were unable to obtain a waiver from a majority of the banks in the applicable syndicate, any borrowings would</t>
  </si>
  <si>
    <t>become immediately due and payable. As of May 31, 2023, we were in full compliance with each of these covenants, and we</t>
  </si>
  <si>
    <t>believe it is unlikely we will fail to meet any of these covenants in the foreseeable future.</t>
  </si>
  <si>
    <t>Liquidity is also provided by our $3 billion commercial paper program. As of and for the fiscal years ended May 31, 2023 and</t>
  </si>
  <si>
    <t>2022, we did not have any borrowings outstanding under our $3 billion program.</t>
  </si>
  <si>
    <t>CAPITAL RESOURCES</t>
  </si>
  <si>
    <t>Details of third-party debt are provided in the table below. The table presents principal cash flows and related weighted average</t>
  </si>
  <si>
    <t>interest rates by expected maturity dates.</t>
  </si>
  <si>
    <t>EXPECTED MATURITY DATE YEAR ENDING MAY 31,</t>
  </si>
  <si>
    <t>(Dollars in millions) 2024 2025 2026 2027 2028 THEREAFTER TOTAL FAIR VALUE</t>
  </si>
  <si>
    <t>Interest Rate Risk</t>
  </si>
  <si>
    <t>Long-term U.S. Dollar debt — Fixed rate</t>
  </si>
  <si>
    <t>Principal payments $ — $ 1,000 $ — $ 2,000 $ — $ 6,000 $ 9,000 $ 7,889</t>
  </si>
  <si>
    <t>Average interest rate 0.0 % 2.4 % 0.0 % 2.6 % 0.0 % 3.3 % 3.1 %</t>
  </si>
  <si>
    <t xml:space="preserve">For fiscal 2023, the net change in working capital compared to the prior year was impacted by unfavorable changes in Accounts payable, </t>
  </si>
  <si>
    <t>offset by favorable impacts from Inventories and Accounts receivable. NWC in 2023 was 9723. The all years Avg.of growth =19.1 %</t>
  </si>
  <si>
    <t xml:space="preserve"> AV GR%</t>
  </si>
  <si>
    <r>
      <rPr>
        <b/>
        <i/>
        <sz val="11"/>
        <color rgb="FFFFFFFF"/>
        <rFont val="Calibri"/>
        <family val="2"/>
        <charset val="1"/>
      </rPr>
      <t xml:space="preserve"> AV GR%</t>
    </r>
    <r>
      <rPr>
        <b/>
        <i/>
        <sz val="12"/>
        <color rgb="FFFFFFFF"/>
        <rFont val="Calibri"/>
        <family val="2"/>
        <charset val="1"/>
      </rPr>
      <t xml:space="preserve"> </t>
    </r>
    <r>
      <rPr>
        <b/>
        <i/>
        <sz val="9"/>
        <color rgb="FFFFFFFF"/>
        <rFont val="Calibri"/>
        <family val="2"/>
        <charset val="1"/>
      </rPr>
      <t>All Years</t>
    </r>
  </si>
  <si>
    <t xml:space="preserve">Payout ratio for the forecasting years was assumed consistent at 36.5 %(Avg. from 2019 to 2022) for the yers </t>
  </si>
  <si>
    <t>No of shares opening in 2023=1611, Stock repurchase amount=4800,1year avg.share price = 110.38</t>
  </si>
  <si>
    <t>DPS shows an upward trend  and the payout ratio was assumed at consistent at  36.5 % over the forecasting years.</t>
  </si>
  <si>
    <r>
      <t xml:space="preserve">approximate cost of $9.4 billion (an average price of $111.82 per share) during the term of the program. </t>
    </r>
    <r>
      <rPr>
        <b/>
        <sz val="11"/>
        <color rgb="FFFF0000"/>
        <rFont val="Calibri"/>
        <family val="2"/>
        <scheme val="minor"/>
      </rPr>
      <t>Upon termination of the</t>
    </r>
  </si>
  <si>
    <r>
      <rPr>
        <b/>
        <sz val="11"/>
        <color rgb="FFFF0000"/>
        <rFont val="Calibri"/>
        <family val="2"/>
        <scheme val="minor"/>
      </rPr>
      <t>four-year, $15 billion program,</t>
    </r>
    <r>
      <rPr>
        <b/>
        <sz val="11"/>
        <color theme="1"/>
        <rFont val="Calibri"/>
        <family val="2"/>
        <scheme val="minor"/>
      </rPr>
      <t xml:space="preserve"> we began purchasing shares under the new four-year, $18 billion share repurchase plan</t>
    </r>
  </si>
  <si>
    <t>NWC</t>
  </si>
  <si>
    <t>Share Issue/Buyback</t>
  </si>
  <si>
    <t>the buy back amount in cash flow forecast and link that to the number of shares (Opening share count + (buy back amount/1 year</t>
  </si>
  <si>
    <t>average share price at the bottom of cash flow))</t>
  </si>
  <si>
    <t>2023 to give us a  14% tax rate for all forecasted years. This was also the rate in 2021, and the average rate across 2019 to 2021.</t>
  </si>
  <si>
    <t xml:space="preserve">Tax rate expectations in the earning call transcripts are predicting rates in the mid teens range. I applied a 63.64% increase in </t>
  </si>
  <si>
    <t xml:space="preserve">The forecasted figures were predicted with the moving avarage of the latest three years </t>
  </si>
  <si>
    <t>The forecasted values of current portion of long term debt  were predicted in line with the revenue growth rate of that year.</t>
  </si>
  <si>
    <t>The forecasted values of other current assets were predicted in line with the revenue growth rate of that year.</t>
  </si>
  <si>
    <t>The forecasted values of goodwil were predicted in line with the revenue growth rate of that year.</t>
  </si>
  <si>
    <t>The forecasted values of other assets were predicted in line with the revenue growth rate of that year.</t>
  </si>
  <si>
    <t>Income tax expense was forecasted by applying constant tax rate of 14 % of PBT from 2023 to 2027.</t>
  </si>
  <si>
    <t>Liquidity has also been provided by $3 billion commercial paper program. As for the fiscal years ended May 31, 2023 and</t>
  </si>
  <si>
    <t>2022, Nike did not have any borrowings outstanding under our $3 billion program.</t>
  </si>
  <si>
    <t>Credit facility agreement 1 for long term  boorrowing for 2 Bn from 2022 to 2027(5years)- 400 Mn each year</t>
  </si>
  <si>
    <t xml:space="preserve">364-day credit facility for short term in 2024 with option to increase up to (1.5bn)=1 Bn </t>
  </si>
  <si>
    <t xml:space="preserve">364-day credit facility for short term in 2023  with option to increase up to (1.5 bn)=1 Bn </t>
  </si>
  <si>
    <r>
      <t xml:space="preserve"> It can be concluded that the replacement of the prior agreement and the second agreement las</t>
    </r>
    <r>
      <rPr>
        <sz val="11"/>
        <color rgb="FF000000"/>
        <rFont val="Calibri"/>
        <family val="2"/>
      </rPr>
      <t>t</t>
    </r>
    <r>
      <rPr>
        <sz val="11"/>
        <color theme="1"/>
        <rFont val="Calibri"/>
        <family val="2"/>
        <scheme val="minor"/>
      </rPr>
      <t xml:space="preserve">ing until 2027 , Nike may intend to </t>
    </r>
  </si>
  <si>
    <t xml:space="preserve">to borrow large and amounts of capital in the next 5 years. </t>
  </si>
  <si>
    <r>
      <t xml:space="preserve"> Nike borrowed 50% of the capital by the credit agreement allowed(</t>
    </r>
    <r>
      <rPr>
        <sz val="11"/>
        <color theme="1"/>
        <rFont val="Calibri"/>
        <family val="2"/>
      </rPr>
      <t>$500 mn) in 2022</t>
    </r>
    <r>
      <rPr>
        <sz val="11"/>
        <color theme="1"/>
        <rFont val="Calibri"/>
        <family val="2"/>
        <scheme val="minor"/>
      </rPr>
      <t>. Therefore, they can borrow up to 50% of the credit facilities in future.</t>
    </r>
  </si>
  <si>
    <t xml:space="preserve">It was 500 mn in 2022 and can be predicted in line with the rate of revenue growth for the years from 2023 to 2027. </t>
  </si>
  <si>
    <t>No additional information to predict. Therefore, assumed as the same for the forecasting years at $10.</t>
  </si>
  <si>
    <t>No. of shares  at the end of 2023 = 1611 -( 4800/110.38)=1568</t>
  </si>
  <si>
    <t>No. of shares at the  end of 2024 = 1568-( 4500/112.69)=1528</t>
  </si>
  <si>
    <t>No. of shares  at the end of 2025 = 1528 -( 4500/112.69)=1488</t>
  </si>
  <si>
    <t>No. of shares at the end of 2026 = 1488 -( 4500/112.69)=1448</t>
  </si>
  <si>
    <t>The borrowings were forecasted as the difference between forecasted long term debt of two consecutive years upto 2027.</t>
  </si>
  <si>
    <t>No. of shares at the end of 2027 = 1448 -( 4500/112.69)=1408</t>
  </si>
  <si>
    <t>The forecasted short term investment  was assumed to increased in line with the revenue growth.</t>
  </si>
  <si>
    <t>The long term debt were assumed with adding 500 mn each in 2023 and 2024 and additional 1000 mn each from 2025 to 2027 to</t>
  </si>
  <si>
    <t>the previos debt balance based on the annual reports, conference calls and news releases.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</si>
</sst>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_(* \(#,##0\);_(* \-??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FFFF"/>
      <name val="Calibri"/>
      <family val="2"/>
      <charset val="1"/>
    </font>
    <font>
      <b/>
      <sz val="11"/>
      <color rgb="FF000000"/>
      <name val="Calibri"/>
      <family val="2"/>
      <charset val="1"/>
    </font>
    <font>
      <i/>
      <sz val="9"/>
      <color rgb="FF000000"/>
      <name val="Calibri"/>
      <family val="2"/>
      <charset val="1"/>
    </font>
    <font>
      <i/>
      <sz val="10"/>
      <color rgb="FF000000"/>
      <name val="Calibri"/>
      <family val="2"/>
      <charset val="1"/>
    </font>
    <font>
      <i/>
      <sz val="10"/>
      <color rgb="FF002060"/>
      <name val="Calibri"/>
      <family val="2"/>
      <charset val="1"/>
    </font>
    <font>
      <b/>
      <sz val="11"/>
      <color theme="1"/>
      <name val="Calibri"/>
      <family val="2"/>
      <charset val="1"/>
    </font>
    <font>
      <b/>
      <sz val="11"/>
      <color rgb="FF000000"/>
      <name val="Calibri"/>
      <family val="2"/>
    </font>
    <font>
      <sz val="11"/>
      <color rgb="FF000000"/>
      <name val="Calibri"/>
      <family val="2"/>
    </font>
    <font>
      <b/>
      <sz val="11"/>
      <color rgb="FFFF0000"/>
      <name val="Calibri"/>
      <family val="2"/>
      <charset val="1"/>
    </font>
    <font>
      <b/>
      <i/>
      <sz val="11"/>
      <color rgb="FFFFFFFF"/>
      <name val="Calibri"/>
      <family val="2"/>
      <charset val="1"/>
    </font>
    <font>
      <b/>
      <sz val="11"/>
      <color rgb="FFFFFFFF"/>
      <name val="Calibri"/>
      <family val="2"/>
      <charset val="1"/>
    </font>
    <font>
      <b/>
      <i/>
      <sz val="10"/>
      <color rgb="FF2A6099"/>
      <name val="Calibri"/>
      <family val="2"/>
      <charset val="1"/>
    </font>
    <font>
      <b/>
      <i/>
      <sz val="12"/>
      <color rgb="FFFFFFFF"/>
      <name val="Calibri"/>
      <family val="2"/>
      <charset val="1"/>
    </font>
    <font>
      <b/>
      <i/>
      <sz val="9"/>
      <color rgb="FFFFFFFF"/>
      <name val="Calibri"/>
      <family val="2"/>
      <charset val="1"/>
    </font>
    <font>
      <b/>
      <sz val="11"/>
      <color rgb="FF0070C0"/>
      <name val="Calibri"/>
      <family val="2"/>
      <scheme val="minor"/>
    </font>
    <font>
      <b/>
      <i/>
      <sz val="11"/>
      <color rgb="FF0070C0"/>
      <name val="Calibri"/>
      <family val="2"/>
      <scheme val="minor"/>
    </font>
    <font>
      <b/>
      <i/>
      <sz val="11"/>
      <color rgb="FF0D47A1"/>
      <name val="Calibri"/>
      <family val="2"/>
      <charset val="1"/>
    </font>
    <font>
      <sz val="8"/>
      <name val="Calibri"/>
      <family val="2"/>
      <scheme val="minor"/>
    </font>
    <font>
      <b/>
      <sz val="11"/>
      <color rgb="FF00B050"/>
      <name val="Calibri"/>
      <family val="2"/>
      <scheme val="minor"/>
    </font>
    <font>
      <b/>
      <sz val="11"/>
      <color rgb="FFC00000"/>
      <name val="Calibri"/>
      <family val="2"/>
      <scheme val="minor"/>
    </font>
    <font>
      <sz val="11"/>
      <color theme="1"/>
      <name val="Calibri"/>
      <family val="2"/>
    </font>
  </fonts>
  <fills count="2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8FAADC"/>
        <bgColor rgb="FFADB9CA"/>
      </patternFill>
    </fill>
    <fill>
      <patternFill patternType="solid">
        <fgColor rgb="FF8497B0"/>
        <bgColor rgb="FF8FAADC"/>
      </patternFill>
    </fill>
    <fill>
      <patternFill patternType="solid">
        <fgColor rgb="FFEDEDED"/>
        <bgColor rgb="FFE8F5E9"/>
      </patternFill>
    </fill>
    <fill>
      <patternFill patternType="solid">
        <fgColor rgb="FFFFFFFF"/>
        <bgColor rgb="FFE8F5E9"/>
      </patternFill>
    </fill>
    <fill>
      <patternFill patternType="solid">
        <fgColor theme="3" tint="0.39997558519241921"/>
        <bgColor rgb="FFADB9CA"/>
      </patternFill>
    </fill>
    <fill>
      <patternFill patternType="solid">
        <fgColor rgb="FF00B0F0"/>
        <bgColor indexed="64"/>
      </patternFill>
    </fill>
    <fill>
      <patternFill patternType="solid">
        <fgColor rgb="FF00B0F0"/>
        <bgColor rgb="FFE8F5E9"/>
      </patternFill>
    </fill>
    <fill>
      <patternFill patternType="solid">
        <fgColor rgb="FFFFFF00"/>
        <bgColor indexed="64"/>
      </patternFill>
    </fill>
    <fill>
      <patternFill patternType="solid">
        <fgColor rgb="FF023F62"/>
        <bgColor rgb="FF0D47A1"/>
      </patternFill>
    </fill>
    <fill>
      <patternFill patternType="solid">
        <fgColor rgb="FFE8F5E9"/>
        <bgColor rgb="FFEDEDED"/>
      </patternFill>
    </fill>
    <fill>
      <patternFill patternType="solid">
        <fgColor rgb="FFFFC0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6" fillId="9" borderId="0" applyBorder="0" applyProtection="0"/>
  </cellStyleXfs>
  <cellXfs count="15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0" fontId="0" fillId="0" borderId="0" xfId="0"/>
    <xf numFmtId="0" fontId="2" fillId="0" borderId="0" xfId="0" applyFont="1"/>
    <xf numFmtId="0" fontId="0" fillId="0" borderId="0" xfId="0" applyAlignment="1">
      <alignment horizontal="left" indent="1"/>
    </xf>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NumberFormat="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applyFont="1"/>
    <xf numFmtId="0" fontId="7" fillId="2" borderId="0" xfId="0" applyFont="1" applyFill="1" applyAlignment="1">
      <alignment horizontal="center"/>
    </xf>
    <xf numFmtId="0" fontId="0" fillId="0" borderId="0" xfId="0"/>
    <xf numFmtId="0" fontId="2" fillId="0" borderId="0" xfId="0" applyFont="1"/>
    <xf numFmtId="0" fontId="0" fillId="0" borderId="0" xfId="0" applyAlignment="1">
      <alignment horizontal="left" indent="1"/>
    </xf>
    <xf numFmtId="2" fontId="0" fillId="0" borderId="0" xfId="0" applyNumberFormat="1"/>
    <xf numFmtId="167" fontId="17" fillId="9" borderId="0" xfId="6" applyNumberFormat="1" applyFont="1" applyBorder="1" applyProtection="1"/>
    <xf numFmtId="0" fontId="17" fillId="10" borderId="0" xfId="0" applyFont="1" applyFill="1"/>
    <xf numFmtId="167" fontId="17" fillId="0" borderId="0" xfId="1" applyNumberFormat="1" applyFont="1" applyBorder="1" applyProtection="1"/>
    <xf numFmtId="167" fontId="18" fillId="0" borderId="0" xfId="1" applyNumberFormat="1" applyFont="1" applyBorder="1" applyAlignment="1" applyProtection="1">
      <alignment horizontal="left" indent="2"/>
    </xf>
    <xf numFmtId="166" fontId="19" fillId="0" borderId="0" xfId="2" applyNumberFormat="1" applyFont="1" applyBorder="1" applyAlignment="1" applyProtection="1">
      <alignment horizontal="right"/>
    </xf>
    <xf numFmtId="167" fontId="1" fillId="0" borderId="0" xfId="1" applyNumberFormat="1" applyBorder="1" applyAlignment="1" applyProtection="1">
      <alignment horizontal="left" indent="1"/>
    </xf>
    <xf numFmtId="166" fontId="20" fillId="11" borderId="0" xfId="2" applyNumberFormat="1" applyFont="1" applyFill="1" applyBorder="1" applyProtection="1"/>
    <xf numFmtId="167" fontId="17" fillId="0" borderId="0" xfId="0" applyNumberFormat="1" applyFont="1"/>
    <xf numFmtId="167" fontId="18" fillId="0" borderId="0" xfId="1" applyNumberFormat="1" applyFont="1" applyBorder="1" applyAlignment="1" applyProtection="1">
      <alignment horizontal="left" indent="1"/>
    </xf>
    <xf numFmtId="166" fontId="19" fillId="12" borderId="0" xfId="2" applyNumberFormat="1" applyFont="1" applyFill="1" applyBorder="1" applyAlignment="1" applyProtection="1">
      <alignment horizontal="right"/>
    </xf>
    <xf numFmtId="167" fontId="21" fillId="9" borderId="0" xfId="6" applyNumberFormat="1" applyFont="1" applyBorder="1" applyProtection="1"/>
    <xf numFmtId="167" fontId="17" fillId="13" borderId="0" xfId="6" applyNumberFormat="1" applyFont="1" applyFill="1" applyBorder="1" applyProtection="1"/>
    <xf numFmtId="166" fontId="0" fillId="0" borderId="0" xfId="2" applyNumberFormat="1" applyFont="1"/>
    <xf numFmtId="167" fontId="22" fillId="0" borderId="0" xfId="1" applyNumberFormat="1" applyFont="1" applyBorder="1" applyProtection="1"/>
    <xf numFmtId="167" fontId="2" fillId="0" borderId="0" xfId="0" applyNumberFormat="1" applyFont="1"/>
    <xf numFmtId="166" fontId="14" fillId="14" borderId="0" xfId="2" applyNumberFormat="1" applyFont="1" applyFill="1"/>
    <xf numFmtId="166" fontId="20" fillId="15" borderId="0" xfId="2" applyNumberFormat="1" applyFont="1" applyFill="1" applyBorder="1" applyProtection="1"/>
    <xf numFmtId="0" fontId="2" fillId="14" borderId="0" xfId="0" applyFont="1" applyFill="1"/>
    <xf numFmtId="167" fontId="1" fillId="0" borderId="0" xfId="1" applyNumberFormat="1" applyBorder="1" applyProtection="1"/>
    <xf numFmtId="167" fontId="1" fillId="16" borderId="0" xfId="1" applyNumberFormat="1" applyFill="1" applyBorder="1" applyProtection="1"/>
    <xf numFmtId="167" fontId="1" fillId="0" borderId="0" xfId="1" applyNumberFormat="1" applyFill="1" applyBorder="1" applyProtection="1"/>
    <xf numFmtId="167" fontId="17" fillId="16" borderId="0" xfId="1" applyNumberFormat="1" applyFont="1" applyFill="1" applyBorder="1" applyProtection="1"/>
    <xf numFmtId="167" fontId="1" fillId="16" borderId="1" xfId="1" applyNumberFormat="1" applyFill="1" applyBorder="1" applyProtection="1"/>
    <xf numFmtId="167" fontId="23" fillId="16" borderId="0" xfId="1" applyNumberFormat="1" applyFont="1" applyFill="1" applyBorder="1" applyProtection="1"/>
    <xf numFmtId="167" fontId="22" fillId="16" borderId="0" xfId="0" applyNumberFormat="1" applyFont="1" applyFill="1"/>
    <xf numFmtId="0" fontId="0" fillId="16" borderId="0" xfId="0" applyFill="1"/>
    <xf numFmtId="3" fontId="0" fillId="16" borderId="0" xfId="0" applyNumberFormat="1" applyFill="1"/>
    <xf numFmtId="167" fontId="24" fillId="16" borderId="0" xfId="0" applyNumberFormat="1" applyFont="1" applyFill="1"/>
    <xf numFmtId="0" fontId="0" fillId="0" borderId="0" xfId="0" applyBorder="1"/>
    <xf numFmtId="0" fontId="0" fillId="0" borderId="0" xfId="0" applyFont="1" applyBorder="1"/>
    <xf numFmtId="165" fontId="5" fillId="0" borderId="0" xfId="0" applyNumberFormat="1" applyFont="1" applyBorder="1"/>
    <xf numFmtId="167" fontId="17" fillId="0" borderId="1" xfId="1" applyNumberFormat="1" applyFont="1" applyBorder="1" applyProtection="1"/>
    <xf numFmtId="167" fontId="17" fillId="0" borderId="2" xfId="1" applyNumberFormat="1" applyFont="1" applyBorder="1" applyProtection="1"/>
    <xf numFmtId="0" fontId="24" fillId="0" borderId="0" xfId="0" applyFont="1"/>
    <xf numFmtId="166" fontId="0" fillId="0" borderId="0" xfId="0" applyNumberFormat="1"/>
    <xf numFmtId="0" fontId="0" fillId="0" borderId="5" xfId="0" applyBorder="1"/>
    <xf numFmtId="165" fontId="0" fillId="16" borderId="0" xfId="1" applyNumberFormat="1" applyFont="1" applyFill="1"/>
    <xf numFmtId="2" fontId="5" fillId="0" borderId="0" xfId="0" applyNumberFormat="1" applyFont="1"/>
    <xf numFmtId="0" fontId="2" fillId="0" borderId="0" xfId="0" applyFont="1" applyBorder="1" applyAlignment="1">
      <alignment wrapText="1"/>
    </xf>
    <xf numFmtId="0" fontId="0" fillId="0" borderId="0" xfId="0" applyAlignment="1">
      <alignment horizontal="left" vertical="top" wrapText="1"/>
    </xf>
    <xf numFmtId="0" fontId="25" fillId="17" borderId="0" xfId="0" applyFont="1" applyFill="1" applyAlignment="1">
      <alignment horizontal="center"/>
    </xf>
    <xf numFmtId="0" fontId="26" fillId="17" borderId="0" xfId="0" applyFont="1" applyFill="1"/>
    <xf numFmtId="0" fontId="26" fillId="17" borderId="0" xfId="0" applyFont="1" applyFill="1" applyAlignment="1">
      <alignment horizontal="center"/>
    </xf>
    <xf numFmtId="166" fontId="19" fillId="0" borderId="5" xfId="2" applyNumberFormat="1" applyFont="1" applyBorder="1" applyAlignment="1" applyProtection="1">
      <alignment horizontal="right"/>
    </xf>
    <xf numFmtId="10" fontId="0" fillId="0" borderId="0" xfId="0" applyNumberFormat="1"/>
    <xf numFmtId="0" fontId="26" fillId="17" borderId="5" xfId="0" applyFont="1" applyFill="1" applyBorder="1" applyAlignment="1">
      <alignment horizontal="center"/>
    </xf>
    <xf numFmtId="166" fontId="0" fillId="0" borderId="5" xfId="0" applyNumberFormat="1" applyBorder="1"/>
    <xf numFmtId="166" fontId="27" fillId="0" borderId="0" xfId="2" applyNumberFormat="1" applyFont="1" applyBorder="1" applyAlignment="1" applyProtection="1">
      <alignment horizontal="right"/>
    </xf>
    <xf numFmtId="0" fontId="0" fillId="0" borderId="0" xfId="0" applyBorder="1" applyAlignment="1">
      <alignment horizontal="right"/>
    </xf>
    <xf numFmtId="166" fontId="0" fillId="16" borderId="0" xfId="0" applyNumberFormat="1" applyFill="1" applyBorder="1" applyAlignment="1">
      <alignment horizontal="right"/>
    </xf>
    <xf numFmtId="9" fontId="32" fillId="18" borderId="0" xfId="2" applyNumberFormat="1" applyFont="1" applyFill="1" applyBorder="1" applyAlignment="1" applyProtection="1">
      <alignment horizontal="right"/>
    </xf>
    <xf numFmtId="165" fontId="30" fillId="0" borderId="0" xfId="1" applyNumberFormat="1" applyFont="1"/>
    <xf numFmtId="0" fontId="34" fillId="0" borderId="0" xfId="0" applyFont="1"/>
    <xf numFmtId="0" fontId="35" fillId="0" borderId="0" xfId="0" applyFont="1"/>
    <xf numFmtId="165" fontId="5" fillId="0" borderId="0" xfId="1" applyNumberFormat="1" applyFont="1" applyBorder="1"/>
    <xf numFmtId="165" fontId="0" fillId="19" borderId="0" xfId="1" applyNumberFormat="1" applyFont="1" applyFill="1"/>
    <xf numFmtId="165" fontId="2" fillId="19" borderId="2" xfId="1" applyNumberFormat="1" applyFont="1" applyFill="1" applyBorder="1"/>
    <xf numFmtId="165" fontId="0" fillId="0" borderId="0" xfId="1" applyNumberFormat="1" applyFont="1" applyFill="1"/>
    <xf numFmtId="2" fontId="0" fillId="0" borderId="1" xfId="0" applyNumberFormat="1" applyBorder="1"/>
    <xf numFmtId="0" fontId="0" fillId="0" borderId="1" xfId="0" applyBorder="1"/>
    <xf numFmtId="0" fontId="0" fillId="0" borderId="8" xfId="0" applyBorder="1"/>
    <xf numFmtId="166" fontId="0" fillId="0" borderId="0" xfId="0" applyNumberFormat="1" applyBorder="1"/>
    <xf numFmtId="0" fontId="26" fillId="17" borderId="0" xfId="0" applyFont="1" applyFill="1" applyBorder="1"/>
    <xf numFmtId="166" fontId="0" fillId="0" borderId="0" xfId="2" applyNumberFormat="1" applyFont="1" applyBorder="1"/>
    <xf numFmtId="166" fontId="0" fillId="16" borderId="0" xfId="2" applyNumberFormat="1" applyFont="1" applyFill="1" applyBorder="1"/>
    <xf numFmtId="166" fontId="0" fillId="0" borderId="5" xfId="2" applyNumberFormat="1" applyFont="1" applyBorder="1"/>
    <xf numFmtId="0" fontId="2" fillId="0" borderId="5" xfId="0" applyFont="1" applyBorder="1"/>
    <xf numFmtId="0" fontId="0" fillId="0" borderId="7" xfId="0" applyBorder="1"/>
    <xf numFmtId="166" fontId="19" fillId="0" borderId="1" xfId="2" applyNumberFormat="1" applyFont="1" applyBorder="1" applyAlignment="1" applyProtection="1">
      <alignment horizontal="right"/>
    </xf>
    <xf numFmtId="166" fontId="31" fillId="0" borderId="0" xfId="0" applyNumberFormat="1" applyFont="1" applyBorder="1" applyAlignment="1">
      <alignment horizontal="right"/>
    </xf>
    <xf numFmtId="0" fontId="25" fillId="17" borderId="0" xfId="0" applyFont="1" applyFill="1" applyBorder="1" applyAlignment="1">
      <alignment horizontal="right"/>
    </xf>
    <xf numFmtId="166" fontId="30" fillId="0" borderId="0" xfId="0" applyNumberFormat="1" applyFont="1" applyBorder="1"/>
    <xf numFmtId="0" fontId="0" fillId="0" borderId="9" xfId="0" applyBorder="1"/>
    <xf numFmtId="0" fontId="0" fillId="0" borderId="6" xfId="0" applyBorder="1"/>
    <xf numFmtId="0" fontId="0" fillId="0" borderId="6" xfId="0" applyBorder="1" applyAlignment="1">
      <alignment wrapText="1"/>
    </xf>
    <xf numFmtId="0" fontId="0" fillId="0" borderId="6" xfId="0" applyBorder="1" applyAlignment="1">
      <alignment horizontal="center" wrapText="1"/>
    </xf>
    <xf numFmtId="0" fontId="23" fillId="0" borderId="6" xfId="0" applyFont="1" applyBorder="1"/>
    <xf numFmtId="0" fontId="0" fillId="0" borderId="6" xfId="0" applyFill="1" applyBorder="1"/>
    <xf numFmtId="166" fontId="0" fillId="0" borderId="6" xfId="0" applyNumberFormat="1" applyBorder="1"/>
    <xf numFmtId="9" fontId="0" fillId="0" borderId="6" xfId="2" applyFont="1" applyBorder="1"/>
    <xf numFmtId="0" fontId="0" fillId="16" borderId="6" xfId="0" applyFill="1" applyBorder="1"/>
    <xf numFmtId="0" fontId="0" fillId="16" borderId="6" xfId="0" applyFill="1" applyBorder="1" applyAlignment="1">
      <alignment wrapText="1"/>
    </xf>
    <xf numFmtId="0" fontId="30" fillId="0" borderId="6" xfId="0" applyFont="1" applyBorder="1" applyAlignment="1">
      <alignment wrapText="1"/>
    </xf>
    <xf numFmtId="0" fontId="30" fillId="0" borderId="10" xfId="0" applyFont="1" applyBorder="1" applyAlignment="1">
      <alignment wrapText="1"/>
    </xf>
    <xf numFmtId="0" fontId="2" fillId="0" borderId="6" xfId="0" applyFont="1" applyBorder="1"/>
    <xf numFmtId="0" fontId="2" fillId="0" borderId="10" xfId="0" applyFont="1" applyBorder="1"/>
  </cellXfs>
  <cellStyles count="7">
    <cellStyle name="60% - Accent1" xfId="5" builtinId="32"/>
    <cellStyle name="Accent1" xfId="4" builtinId="29"/>
    <cellStyle name="Comma" xfId="1" builtinId="3"/>
    <cellStyle name="Comma 2" xfId="3" xr:uid="{00000000-0005-0000-0000-000003000000}"/>
    <cellStyle name="Excel Built-in 60% - Accent1" xfId="6" xr:uid="{98E826DC-1743-4B09-B536-DFA60A38F64A}"/>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1713188204225_Level%202%20Task%2013_Me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 val="Three Statements"/>
    </sheetNames>
    <sheetDataSet>
      <sheetData sheetId="0"/>
      <sheetData sheetId="1">
        <row r="187">
          <cell r="A187" t="str">
            <v>Europe, Middle East &amp; Africa</v>
          </cell>
        </row>
        <row r="188">
          <cell r="C188">
            <v>0.16</v>
          </cell>
          <cell r="D188">
            <v>0.08</v>
          </cell>
          <cell r="E188">
            <v>0.06</v>
          </cell>
          <cell r="F188">
            <v>0.12</v>
          </cell>
          <cell r="G188">
            <v>-0.03</v>
          </cell>
          <cell r="H188">
            <v>0.19</v>
          </cell>
          <cell r="I188">
            <v>0.09</v>
          </cell>
        </row>
        <row r="191">
          <cell r="A191" t="str">
            <v>Greater China</v>
          </cell>
        </row>
        <row r="195">
          <cell r="A195" t="str">
            <v>Asia Pacific &amp; Latin America</v>
          </cell>
        </row>
        <row r="199">
          <cell r="A199" t="str">
            <v>Global Brand Divisions</v>
          </cell>
        </row>
        <row r="201">
          <cell r="A201" t="str">
            <v>Converse</v>
          </cell>
        </row>
        <row r="206">
          <cell r="A206" t="str">
            <v>Corporate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18" sqref="A18"/>
    </sheetView>
  </sheetViews>
  <sheetFormatPr defaultRowHeight="14.4" x14ac:dyDescent="0.3"/>
  <cols>
    <col min="1" max="1" width="176.109375" style="20" customWidth="1"/>
  </cols>
  <sheetData>
    <row r="1" spans="1:1" ht="23.4" x14ac:dyDescent="0.45">
      <c r="A1" s="19" t="s">
        <v>20</v>
      </c>
    </row>
    <row r="2" spans="1:1" x14ac:dyDescent="0.3">
      <c r="A2" s="66" t="s">
        <v>198</v>
      </c>
    </row>
    <row r="3" spans="1:1" x14ac:dyDescent="0.3">
      <c r="A3" s="65" t="s">
        <v>199</v>
      </c>
    </row>
    <row r="4" spans="1:1" x14ac:dyDescent="0.3">
      <c r="A4" s="65" t="s">
        <v>200</v>
      </c>
    </row>
    <row r="5" spans="1:1" x14ac:dyDescent="0.3">
      <c r="A5" s="65" t="s">
        <v>201</v>
      </c>
    </row>
    <row r="6" spans="1:1" x14ac:dyDescent="0.3">
      <c r="A6" s="65" t="s">
        <v>202</v>
      </c>
    </row>
    <row r="7" spans="1:1" s="50" customFormat="1" x14ac:dyDescent="0.3">
      <c r="A7" s="65" t="s">
        <v>207</v>
      </c>
    </row>
    <row r="8" spans="1:1" x14ac:dyDescent="0.3">
      <c r="A8" s="67" t="s">
        <v>203</v>
      </c>
    </row>
    <row r="9" spans="1:1" x14ac:dyDescent="0.3">
      <c r="A9" s="65" t="s">
        <v>204</v>
      </c>
    </row>
    <row r="10" spans="1:1" s="65" customFormat="1" x14ac:dyDescent="0.3"/>
    <row r="11" spans="1:1" x14ac:dyDescent="0.3">
      <c r="A11" s="65" t="s">
        <v>205</v>
      </c>
    </row>
    <row r="12" spans="1:1" x14ac:dyDescent="0.3">
      <c r="A12" s="50" t="s">
        <v>208</v>
      </c>
    </row>
    <row r="13" spans="1:1" x14ac:dyDescent="0.3">
      <c r="A13" s="50"/>
    </row>
    <row r="14" spans="1:1" x14ac:dyDescent="0.3">
      <c r="A14" s="50"/>
    </row>
    <row r="15" spans="1:1" x14ac:dyDescent="0.3">
      <c r="A15" s="50"/>
    </row>
    <row r="16" spans="1:1" x14ac:dyDescent="0.3">
      <c r="A16" s="50"/>
    </row>
    <row r="17" spans="1:1" x14ac:dyDescent="0.3">
      <c r="A17" s="50"/>
    </row>
    <row r="18" spans="1:1" x14ac:dyDescent="0.3">
      <c r="A18" s="50"/>
    </row>
    <row r="19" spans="1:1" x14ac:dyDescent="0.3">
      <c r="A19" s="50"/>
    </row>
    <row r="20" spans="1:1" x14ac:dyDescent="0.3">
      <c r="A20" s="50"/>
    </row>
    <row r="21" spans="1:1" x14ac:dyDescent="0.3">
      <c r="A21" s="50"/>
    </row>
    <row r="22" spans="1:1" x14ac:dyDescent="0.3">
      <c r="A22" s="50"/>
    </row>
    <row r="23" spans="1:1" x14ac:dyDescent="0.3">
      <c r="A23"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04"/>
  <sheetViews>
    <sheetView workbookViewId="0">
      <pane ySplit="1" topLeftCell="A17" activePane="bottomLeft" state="frozen"/>
      <selection pane="bottomLeft" activeCell="M92" sqref="M92"/>
    </sheetView>
  </sheetViews>
  <sheetFormatPr defaultRowHeight="14.4" x14ac:dyDescent="0.3"/>
  <cols>
    <col min="1" max="1" width="110.109375" bestFit="1" customWidth="1"/>
    <col min="2" max="7" width="9" bestFit="1" customWidth="1"/>
    <col min="8" max="8" width="10.44140625" bestFit="1" customWidth="1"/>
    <col min="9" max="9" width="10.6640625" bestFit="1" customWidth="1"/>
    <col min="13" max="13" width="17.88671875" bestFit="1" customWidth="1"/>
  </cols>
  <sheetData>
    <row r="1" spans="1:13"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K1" s="86">
        <v>2014</v>
      </c>
    </row>
    <row r="2" spans="1:13" x14ac:dyDescent="0.3">
      <c r="A2" t="s">
        <v>27</v>
      </c>
      <c r="B2" s="3">
        <v>30601</v>
      </c>
      <c r="C2" s="3">
        <v>32376</v>
      </c>
      <c r="D2" s="3">
        <v>34350</v>
      </c>
      <c r="E2" s="3">
        <v>36397</v>
      </c>
      <c r="F2" s="3">
        <v>39117</v>
      </c>
      <c r="G2" s="3">
        <v>37403</v>
      </c>
      <c r="H2" s="3">
        <v>44538</v>
      </c>
      <c r="I2" s="3">
        <v>46710</v>
      </c>
      <c r="K2" s="88">
        <v>27799</v>
      </c>
    </row>
    <row r="3" spans="1:13" x14ac:dyDescent="0.3">
      <c r="A3" s="24" t="s">
        <v>28</v>
      </c>
      <c r="B3" s="25">
        <v>16534</v>
      </c>
      <c r="C3" s="25">
        <v>17405</v>
      </c>
      <c r="D3" s="25">
        <v>19038</v>
      </c>
      <c r="E3" s="25">
        <v>20441</v>
      </c>
      <c r="F3" s="25">
        <v>21643</v>
      </c>
      <c r="G3" s="25">
        <v>21162</v>
      </c>
      <c r="H3" s="25">
        <v>24576</v>
      </c>
      <c r="I3" s="25">
        <v>25231</v>
      </c>
      <c r="K3" s="88">
        <v>15353</v>
      </c>
    </row>
    <row r="4" spans="1:13" s="1" customFormat="1" x14ac:dyDescent="0.3">
      <c r="A4" s="23"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90">
        <f t="shared" ref="K4" si="2">+K2-K3</f>
        <v>12446</v>
      </c>
    </row>
    <row r="5" spans="1:13" x14ac:dyDescent="0.3">
      <c r="A5" s="11" t="s">
        <v>21</v>
      </c>
      <c r="B5" s="3">
        <v>3213</v>
      </c>
      <c r="C5" s="3">
        <v>3278</v>
      </c>
      <c r="D5" s="3">
        <v>3341</v>
      </c>
      <c r="E5" s="3">
        <v>3577</v>
      </c>
      <c r="F5" s="3">
        <v>3753</v>
      </c>
      <c r="G5" s="3">
        <v>3592</v>
      </c>
      <c r="H5" s="3">
        <v>3114</v>
      </c>
      <c r="I5" s="3">
        <v>3850</v>
      </c>
      <c r="K5" s="88">
        <v>3031</v>
      </c>
    </row>
    <row r="6" spans="1:13" x14ac:dyDescent="0.3">
      <c r="A6" s="11" t="s">
        <v>22</v>
      </c>
      <c r="B6" s="3">
        <v>6679</v>
      </c>
      <c r="C6" s="3">
        <v>7191</v>
      </c>
      <c r="D6" s="3">
        <v>7222</v>
      </c>
      <c r="E6" s="3">
        <v>7934</v>
      </c>
      <c r="F6" s="3">
        <v>8949</v>
      </c>
      <c r="G6" s="3">
        <v>9534</v>
      </c>
      <c r="H6" s="3">
        <v>9911</v>
      </c>
      <c r="I6" s="3">
        <v>10954</v>
      </c>
      <c r="K6" s="88">
        <v>5735</v>
      </c>
    </row>
    <row r="7" spans="1:13" x14ac:dyDescent="0.3">
      <c r="A7" s="22" t="s">
        <v>23</v>
      </c>
      <c r="B7" s="21">
        <f t="shared" ref="B7:H7" si="3">+B5+B6</f>
        <v>9892</v>
      </c>
      <c r="C7" s="21">
        <f t="shared" si="3"/>
        <v>10469</v>
      </c>
      <c r="D7" s="21">
        <f t="shared" si="3"/>
        <v>10563</v>
      </c>
      <c r="E7" s="21">
        <f t="shared" si="3"/>
        <v>11511</v>
      </c>
      <c r="F7" s="21">
        <f t="shared" si="3"/>
        <v>12702</v>
      </c>
      <c r="G7" s="21">
        <f t="shared" si="3"/>
        <v>13126</v>
      </c>
      <c r="H7" s="21">
        <f t="shared" si="3"/>
        <v>13025</v>
      </c>
      <c r="I7" s="21">
        <f>+I5+I6</f>
        <v>14804</v>
      </c>
      <c r="K7" s="91">
        <f t="shared" ref="K7" si="4">+K5+K6</f>
        <v>8766</v>
      </c>
    </row>
    <row r="8" spans="1:13" x14ac:dyDescent="0.3">
      <c r="A8" s="2" t="s">
        <v>24</v>
      </c>
      <c r="B8" s="3">
        <v>28</v>
      </c>
      <c r="C8" s="3">
        <v>19</v>
      </c>
      <c r="D8" s="3">
        <v>59</v>
      </c>
      <c r="E8" s="3">
        <v>54</v>
      </c>
      <c r="F8" s="3">
        <v>49</v>
      </c>
      <c r="G8" s="3">
        <v>89</v>
      </c>
      <c r="H8" s="3">
        <v>262</v>
      </c>
      <c r="I8" s="3">
        <v>205</v>
      </c>
      <c r="K8" s="88">
        <v>33</v>
      </c>
    </row>
    <row r="9" spans="1:13" x14ac:dyDescent="0.3">
      <c r="A9" s="2" t="s">
        <v>5</v>
      </c>
      <c r="B9" s="3">
        <v>-58</v>
      </c>
      <c r="C9" s="3">
        <v>-140</v>
      </c>
      <c r="D9" s="3">
        <v>-196</v>
      </c>
      <c r="E9" s="3">
        <v>66</v>
      </c>
      <c r="F9" s="3">
        <v>-78</v>
      </c>
      <c r="G9" s="3">
        <v>139</v>
      </c>
      <c r="H9" s="3">
        <v>14</v>
      </c>
      <c r="I9" s="3">
        <v>-181</v>
      </c>
      <c r="K9" s="88">
        <v>103</v>
      </c>
    </row>
    <row r="10" spans="1:13" x14ac:dyDescent="0.3">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K10" s="90">
        <f>K4-K7-K8-K9</f>
        <v>3544</v>
      </c>
      <c r="L10" s="83">
        <f>K10+K8</f>
        <v>3577</v>
      </c>
      <c r="M10" s="66" t="s">
        <v>134</v>
      </c>
    </row>
    <row r="11" spans="1:13" x14ac:dyDescent="0.3">
      <c r="A11" s="2" t="s">
        <v>26</v>
      </c>
      <c r="B11" s="3">
        <v>932</v>
      </c>
      <c r="C11" s="3">
        <v>863</v>
      </c>
      <c r="D11" s="3">
        <v>646</v>
      </c>
      <c r="E11" s="3">
        <v>2392</v>
      </c>
      <c r="F11" s="3">
        <v>772</v>
      </c>
      <c r="G11" s="3">
        <v>348</v>
      </c>
      <c r="H11" s="3">
        <v>934</v>
      </c>
      <c r="I11" s="3">
        <v>605</v>
      </c>
      <c r="K11" s="92">
        <v>851</v>
      </c>
    </row>
    <row r="12" spans="1:13" ht="15" thickBot="1" x14ac:dyDescent="0.35">
      <c r="A12" s="6" t="s">
        <v>29</v>
      </c>
      <c r="B12" s="7">
        <f t="shared" ref="B12:H12" si="6">+B10-B11</f>
        <v>3273</v>
      </c>
      <c r="C12" s="7">
        <f t="shared" si="6"/>
        <v>3760</v>
      </c>
      <c r="D12" s="7">
        <f t="shared" si="6"/>
        <v>4240</v>
      </c>
      <c r="E12" s="7">
        <f t="shared" si="6"/>
        <v>1933</v>
      </c>
      <c r="F12" s="7">
        <f t="shared" si="6"/>
        <v>4029</v>
      </c>
      <c r="G12" s="7">
        <f t="shared" si="6"/>
        <v>2539</v>
      </c>
      <c r="H12" s="7">
        <f t="shared" si="6"/>
        <v>5727</v>
      </c>
      <c r="I12" s="7">
        <f>+I10-I11</f>
        <v>6046</v>
      </c>
      <c r="K12" s="93">
        <f>K4-K7-K8-K9-K11</f>
        <v>2693</v>
      </c>
    </row>
    <row r="13" spans="1:13" ht="15" thickTop="1" x14ac:dyDescent="0.3">
      <c r="A13" s="1" t="s">
        <v>8</v>
      </c>
      <c r="K13" s="94"/>
    </row>
    <row r="14" spans="1:13" x14ac:dyDescent="0.3">
      <c r="A14" s="2" t="s">
        <v>6</v>
      </c>
      <c r="B14">
        <v>1.9</v>
      </c>
      <c r="C14">
        <v>2.21</v>
      </c>
      <c r="D14">
        <v>2.56</v>
      </c>
      <c r="E14">
        <v>1.19</v>
      </c>
      <c r="F14">
        <v>2.5499999999999998</v>
      </c>
      <c r="G14">
        <v>1.63</v>
      </c>
      <c r="H14">
        <v>3.64</v>
      </c>
      <c r="I14">
        <v>3.83</v>
      </c>
      <c r="K14" s="94">
        <v>3.05</v>
      </c>
    </row>
    <row r="15" spans="1:13" x14ac:dyDescent="0.3">
      <c r="A15" s="2" t="s">
        <v>7</v>
      </c>
      <c r="B15">
        <v>1.85</v>
      </c>
      <c r="C15">
        <v>2.16</v>
      </c>
      <c r="D15">
        <v>2.5099999999999998</v>
      </c>
      <c r="E15">
        <v>1.17</v>
      </c>
      <c r="F15">
        <v>2.4900000000000002</v>
      </c>
      <c r="G15">
        <v>1.6</v>
      </c>
      <c r="H15">
        <v>3.56</v>
      </c>
      <c r="I15">
        <v>3.75</v>
      </c>
      <c r="K15" s="94">
        <v>2.97</v>
      </c>
    </row>
    <row r="16" spans="1:13" x14ac:dyDescent="0.3">
      <c r="A16" s="1" t="s">
        <v>9</v>
      </c>
      <c r="K16" s="94"/>
    </row>
    <row r="17" spans="1:13" x14ac:dyDescent="0.3">
      <c r="A17" s="2" t="s">
        <v>6</v>
      </c>
      <c r="B17">
        <v>1723.5</v>
      </c>
      <c r="C17">
        <v>1697.9</v>
      </c>
      <c r="D17">
        <v>1657.8</v>
      </c>
      <c r="E17">
        <v>1623.8</v>
      </c>
      <c r="F17">
        <v>1579.7</v>
      </c>
      <c r="G17" s="8">
        <v>1558.8</v>
      </c>
      <c r="H17" s="8">
        <v>1573</v>
      </c>
      <c r="I17" s="8">
        <v>1578.8</v>
      </c>
      <c r="K17" s="95">
        <v>883.4</v>
      </c>
    </row>
    <row r="18" spans="1:13" x14ac:dyDescent="0.3">
      <c r="A18" s="2" t="s">
        <v>7</v>
      </c>
      <c r="B18">
        <v>1768.8</v>
      </c>
      <c r="C18">
        <v>1742.5</v>
      </c>
      <c r="D18">
        <v>1692</v>
      </c>
      <c r="E18">
        <v>1659.1</v>
      </c>
      <c r="F18">
        <v>1618.4</v>
      </c>
      <c r="G18" s="8">
        <v>1591.6</v>
      </c>
      <c r="H18" s="8">
        <v>1609.4</v>
      </c>
      <c r="I18" s="8">
        <v>1610.8</v>
      </c>
      <c r="K18" s="95">
        <v>905.8</v>
      </c>
    </row>
    <row r="19" spans="1:13" x14ac:dyDescent="0.3">
      <c r="K19" s="94"/>
    </row>
    <row r="20" spans="1:13" s="12" customFormat="1" x14ac:dyDescent="0.3">
      <c r="A20" s="12" t="s">
        <v>2</v>
      </c>
      <c r="B20" s="13">
        <f t="shared" ref="B20:H20" si="7">+ROUND(((B12/B18)-B15),2)</f>
        <v>0</v>
      </c>
      <c r="C20" s="13">
        <f t="shared" si="7"/>
        <v>0</v>
      </c>
      <c r="D20" s="13">
        <f t="shared" si="7"/>
        <v>0</v>
      </c>
      <c r="E20" s="13">
        <f t="shared" si="7"/>
        <v>0</v>
      </c>
      <c r="F20" s="13">
        <f t="shared" si="7"/>
        <v>0</v>
      </c>
      <c r="G20" s="13">
        <f t="shared" si="7"/>
        <v>0</v>
      </c>
      <c r="H20" s="13">
        <f t="shared" si="7"/>
        <v>0</v>
      </c>
      <c r="I20" s="13">
        <f>+ROUND(((I12/I18)-I15),2)</f>
        <v>0</v>
      </c>
      <c r="K20" s="96">
        <f t="shared" ref="K20" si="8">+ROUND(((K12/K18)-K15),2)</f>
        <v>0</v>
      </c>
      <c r="L20" s="106">
        <f>ABS(K90/K18)</f>
        <v>0.88209317730183268</v>
      </c>
      <c r="M20" s="12" t="s">
        <v>155</v>
      </c>
    </row>
    <row r="22" spans="1:13" x14ac:dyDescent="0.3">
      <c r="A22" s="14" t="s">
        <v>0</v>
      </c>
      <c r="B22" s="14"/>
      <c r="C22" s="14"/>
      <c r="D22" s="14"/>
      <c r="E22" s="14"/>
      <c r="F22" s="14"/>
      <c r="G22" s="14"/>
      <c r="H22" s="14"/>
      <c r="I22" s="14"/>
    </row>
    <row r="23" spans="1:13" x14ac:dyDescent="0.3">
      <c r="A23" s="1" t="s">
        <v>30</v>
      </c>
    </row>
    <row r="24" spans="1:13" x14ac:dyDescent="0.3">
      <c r="A24" s="10" t="s">
        <v>31</v>
      </c>
      <c r="B24" s="3"/>
      <c r="C24" s="3"/>
      <c r="D24" s="3"/>
      <c r="E24" s="3"/>
      <c r="F24" s="3"/>
      <c r="G24" s="3"/>
      <c r="H24" s="3"/>
      <c r="I24" s="3"/>
    </row>
    <row r="25" spans="1:13" x14ac:dyDescent="0.3">
      <c r="A25" s="11" t="s">
        <v>32</v>
      </c>
      <c r="B25" s="3">
        <v>3852</v>
      </c>
      <c r="C25" s="3">
        <v>3138</v>
      </c>
      <c r="D25" s="3">
        <v>3808</v>
      </c>
      <c r="E25" s="3">
        <v>4249</v>
      </c>
      <c r="F25" s="3">
        <v>4466</v>
      </c>
      <c r="G25" s="3">
        <v>8348</v>
      </c>
      <c r="H25" s="3">
        <v>9889</v>
      </c>
      <c r="I25" s="3">
        <v>8574</v>
      </c>
      <c r="K25">
        <v>2220</v>
      </c>
      <c r="L25" s="121">
        <f>K27+K28-K41</f>
        <v>5451</v>
      </c>
      <c r="M25" s="121" t="s">
        <v>285</v>
      </c>
    </row>
    <row r="26" spans="1:13" x14ac:dyDescent="0.3">
      <c r="A26" s="11" t="s">
        <v>33</v>
      </c>
      <c r="B26" s="3">
        <v>2072</v>
      </c>
      <c r="C26" s="3">
        <v>2319</v>
      </c>
      <c r="D26" s="3">
        <v>2371</v>
      </c>
      <c r="E26" s="3">
        <v>996</v>
      </c>
      <c r="F26" s="3">
        <v>197</v>
      </c>
      <c r="G26" s="3">
        <v>439</v>
      </c>
      <c r="H26" s="3">
        <v>3587</v>
      </c>
      <c r="I26" s="3">
        <v>4423</v>
      </c>
      <c r="K26">
        <v>2922</v>
      </c>
    </row>
    <row r="27" spans="1:13" x14ac:dyDescent="0.3">
      <c r="A27" s="11" t="s">
        <v>34</v>
      </c>
      <c r="B27" s="3">
        <v>3358</v>
      </c>
      <c r="C27" s="3">
        <v>3241</v>
      </c>
      <c r="D27" s="3">
        <v>3677</v>
      </c>
      <c r="E27" s="3">
        <v>3498</v>
      </c>
      <c r="F27" s="3">
        <v>4272</v>
      </c>
      <c r="G27" s="3">
        <v>2749</v>
      </c>
      <c r="H27" s="3">
        <v>4463</v>
      </c>
      <c r="I27" s="3">
        <v>4667</v>
      </c>
      <c r="K27">
        <v>3434</v>
      </c>
    </row>
    <row r="28" spans="1:13" x14ac:dyDescent="0.3">
      <c r="A28" s="11" t="s">
        <v>35</v>
      </c>
      <c r="B28" s="3">
        <v>4337</v>
      </c>
      <c r="C28" s="3">
        <v>4838</v>
      </c>
      <c r="D28" s="3">
        <v>5055</v>
      </c>
      <c r="E28" s="3">
        <v>5261</v>
      </c>
      <c r="F28" s="3">
        <v>5622</v>
      </c>
      <c r="G28" s="3">
        <v>7367</v>
      </c>
      <c r="H28" s="3">
        <v>6854</v>
      </c>
      <c r="I28" s="3">
        <v>8420</v>
      </c>
      <c r="K28">
        <v>3947</v>
      </c>
    </row>
    <row r="29" spans="1:13" x14ac:dyDescent="0.3">
      <c r="A29" s="11" t="s">
        <v>36</v>
      </c>
      <c r="B29" s="3">
        <v>1968</v>
      </c>
      <c r="C29" s="3">
        <v>1489</v>
      </c>
      <c r="D29" s="3">
        <v>1150</v>
      </c>
      <c r="E29" s="3">
        <v>1130</v>
      </c>
      <c r="F29" s="3">
        <v>1968</v>
      </c>
      <c r="G29" s="3">
        <v>1653</v>
      </c>
      <c r="H29" s="3">
        <v>1498</v>
      </c>
      <c r="I29" s="3">
        <v>2129</v>
      </c>
      <c r="J29" s="97"/>
      <c r="K29">
        <v>1173</v>
      </c>
    </row>
    <row r="30" spans="1:13" x14ac:dyDescent="0.3">
      <c r="A30" s="4" t="s">
        <v>10</v>
      </c>
      <c r="B30" s="5">
        <f t="shared" ref="B30:H30" si="9">+SUM(B25:B29)</f>
        <v>15587</v>
      </c>
      <c r="C30" s="5">
        <f t="shared" si="9"/>
        <v>15025</v>
      </c>
      <c r="D30" s="5">
        <f t="shared" si="9"/>
        <v>16061</v>
      </c>
      <c r="E30" s="5">
        <f t="shared" si="9"/>
        <v>15134</v>
      </c>
      <c r="F30" s="5">
        <f t="shared" si="9"/>
        <v>16525</v>
      </c>
      <c r="G30" s="5">
        <f t="shared" si="9"/>
        <v>20556</v>
      </c>
      <c r="H30" s="5">
        <f t="shared" si="9"/>
        <v>26291</v>
      </c>
      <c r="I30" s="5">
        <f>+SUM(I25:I29)</f>
        <v>28213</v>
      </c>
      <c r="J30" s="41"/>
      <c r="K30" s="5">
        <f t="shared" ref="K30" si="10">+SUM(K25:K29)</f>
        <v>13696</v>
      </c>
    </row>
    <row r="31" spans="1:13" x14ac:dyDescent="0.3">
      <c r="A31" s="2" t="s">
        <v>37</v>
      </c>
      <c r="B31" s="3">
        <v>3011</v>
      </c>
      <c r="C31" s="3">
        <v>3520</v>
      </c>
      <c r="D31" s="3">
        <v>3989</v>
      </c>
      <c r="E31" s="3">
        <v>4454</v>
      </c>
      <c r="F31" s="3">
        <v>4744</v>
      </c>
      <c r="G31" s="3">
        <v>4866</v>
      </c>
      <c r="H31" s="3">
        <v>4904</v>
      </c>
      <c r="I31" s="3">
        <v>4791</v>
      </c>
      <c r="J31" s="97"/>
      <c r="K31">
        <v>2834</v>
      </c>
    </row>
    <row r="32" spans="1:13" x14ac:dyDescent="0.3">
      <c r="A32" s="2" t="s">
        <v>38</v>
      </c>
      <c r="B32" s="3"/>
      <c r="C32" s="3"/>
      <c r="D32" s="3"/>
      <c r="E32" s="3"/>
      <c r="F32" s="3"/>
      <c r="G32" s="3">
        <v>3097</v>
      </c>
      <c r="H32" s="3">
        <v>3113</v>
      </c>
      <c r="I32" s="3">
        <v>2926</v>
      </c>
      <c r="K32">
        <v>0</v>
      </c>
    </row>
    <row r="33" spans="1:11" x14ac:dyDescent="0.3">
      <c r="A33" s="2" t="s">
        <v>39</v>
      </c>
      <c r="B33" s="3">
        <v>281</v>
      </c>
      <c r="C33" s="3">
        <v>281</v>
      </c>
      <c r="D33" s="3">
        <v>283</v>
      </c>
      <c r="E33" s="3">
        <v>285</v>
      </c>
      <c r="F33" s="3">
        <v>283</v>
      </c>
      <c r="G33" s="3">
        <v>274</v>
      </c>
      <c r="H33" s="3">
        <v>269</v>
      </c>
      <c r="I33" s="3">
        <v>286</v>
      </c>
      <c r="J33" s="97"/>
      <c r="K33">
        <v>282</v>
      </c>
    </row>
    <row r="34" spans="1:11" x14ac:dyDescent="0.3">
      <c r="A34" s="2" t="s">
        <v>40</v>
      </c>
      <c r="B34" s="3">
        <v>131</v>
      </c>
      <c r="C34" s="3">
        <v>131</v>
      </c>
      <c r="D34" s="3">
        <v>139</v>
      </c>
      <c r="E34" s="3">
        <v>154</v>
      </c>
      <c r="F34" s="3">
        <v>154</v>
      </c>
      <c r="G34" s="3">
        <v>223</v>
      </c>
      <c r="H34" s="3">
        <v>242</v>
      </c>
      <c r="I34" s="3">
        <v>284</v>
      </c>
      <c r="J34" s="97"/>
      <c r="K34">
        <v>131</v>
      </c>
    </row>
    <row r="35" spans="1:11" x14ac:dyDescent="0.3">
      <c r="A35" s="2" t="s">
        <v>41</v>
      </c>
      <c r="B35" s="3">
        <v>2587</v>
      </c>
      <c r="C35" s="3">
        <v>2439</v>
      </c>
      <c r="D35" s="3">
        <v>2787</v>
      </c>
      <c r="E35" s="3">
        <v>2509</v>
      </c>
      <c r="F35" s="3">
        <v>2011</v>
      </c>
      <c r="G35" s="3">
        <v>2326</v>
      </c>
      <c r="H35" s="3">
        <v>2921</v>
      </c>
      <c r="I35" s="3">
        <v>3821</v>
      </c>
      <c r="J35" s="97"/>
      <c r="K35">
        <v>1651</v>
      </c>
    </row>
    <row r="36" spans="1:11" ht="15" thickBot="1" x14ac:dyDescent="0.35">
      <c r="A36" s="6" t="s">
        <v>42</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c r="J36" s="41"/>
      <c r="K36" s="7">
        <f t="shared" ref="K36" si="12">+SUM(K30:K35)</f>
        <v>18594</v>
      </c>
    </row>
    <row r="37" spans="1:11" ht="15" thickTop="1" x14ac:dyDescent="0.3">
      <c r="A37" s="1" t="s">
        <v>43</v>
      </c>
      <c r="B37" s="3"/>
      <c r="C37" s="3"/>
      <c r="D37" s="3"/>
      <c r="E37" s="3"/>
      <c r="F37" s="3"/>
      <c r="G37" s="3"/>
      <c r="H37" s="3"/>
      <c r="I37" s="3"/>
      <c r="J37" s="97"/>
    </row>
    <row r="38" spans="1:11" x14ac:dyDescent="0.3">
      <c r="A38" s="2" t="s">
        <v>44</v>
      </c>
      <c r="B38" s="3"/>
      <c r="C38" s="3"/>
      <c r="D38" s="3"/>
      <c r="E38" s="3"/>
      <c r="F38" s="3"/>
      <c r="G38" s="3"/>
      <c r="H38" s="3"/>
      <c r="I38" s="3"/>
      <c r="J38" s="97"/>
    </row>
    <row r="39" spans="1:11" x14ac:dyDescent="0.3">
      <c r="A39" s="11" t="s">
        <v>45</v>
      </c>
      <c r="B39" s="3">
        <v>107</v>
      </c>
      <c r="C39" s="3">
        <v>44</v>
      </c>
      <c r="D39" s="3">
        <v>6</v>
      </c>
      <c r="E39" s="3">
        <v>6</v>
      </c>
      <c r="F39" s="3">
        <v>6</v>
      </c>
      <c r="G39" s="3">
        <v>3</v>
      </c>
      <c r="H39" s="3">
        <v>0</v>
      </c>
      <c r="I39" s="3">
        <v>500</v>
      </c>
      <c r="K39">
        <v>7</v>
      </c>
    </row>
    <row r="40" spans="1:11" x14ac:dyDescent="0.3">
      <c r="A40" s="11" t="s">
        <v>46</v>
      </c>
      <c r="B40" s="3">
        <v>74</v>
      </c>
      <c r="C40" s="3">
        <v>1</v>
      </c>
      <c r="D40" s="3">
        <v>325</v>
      </c>
      <c r="E40" s="3">
        <v>336</v>
      </c>
      <c r="F40" s="3">
        <v>9</v>
      </c>
      <c r="G40" s="3">
        <v>248</v>
      </c>
      <c r="H40" s="3">
        <v>2</v>
      </c>
      <c r="I40" s="3">
        <v>10</v>
      </c>
      <c r="K40">
        <v>167</v>
      </c>
    </row>
    <row r="41" spans="1:11" x14ac:dyDescent="0.3">
      <c r="A41" s="11" t="s">
        <v>11</v>
      </c>
      <c r="B41" s="3">
        <v>2131</v>
      </c>
      <c r="C41" s="3">
        <v>2191</v>
      </c>
      <c r="D41" s="3">
        <v>2048</v>
      </c>
      <c r="E41" s="3">
        <v>2279</v>
      </c>
      <c r="F41" s="3">
        <v>2612</v>
      </c>
      <c r="G41" s="3">
        <v>2248</v>
      </c>
      <c r="H41" s="3">
        <v>2836</v>
      </c>
      <c r="I41" s="3">
        <v>3358</v>
      </c>
      <c r="K41">
        <v>1930</v>
      </c>
    </row>
    <row r="42" spans="1:11" x14ac:dyDescent="0.3">
      <c r="A42" s="11" t="s">
        <v>47</v>
      </c>
      <c r="B42" s="3"/>
      <c r="C42" s="3"/>
      <c r="D42" s="3"/>
      <c r="E42" s="3"/>
      <c r="F42" s="3"/>
      <c r="G42" s="3">
        <v>445</v>
      </c>
      <c r="H42" s="3">
        <v>467</v>
      </c>
      <c r="I42" s="3">
        <v>420</v>
      </c>
    </row>
    <row r="43" spans="1:11" x14ac:dyDescent="0.3">
      <c r="A43" s="11" t="s">
        <v>12</v>
      </c>
      <c r="B43" s="3">
        <v>3949</v>
      </c>
      <c r="C43" s="3">
        <v>3037</v>
      </c>
      <c r="D43" s="3">
        <v>3011</v>
      </c>
      <c r="E43" s="3">
        <v>3269</v>
      </c>
      <c r="F43" s="3">
        <v>5010</v>
      </c>
      <c r="G43" s="3">
        <v>5184</v>
      </c>
      <c r="H43" s="3">
        <v>6063</v>
      </c>
      <c r="I43" s="3">
        <v>6220</v>
      </c>
      <c r="J43" s="97"/>
      <c r="K43">
        <v>2491</v>
      </c>
    </row>
    <row r="44" spans="1:11" x14ac:dyDescent="0.3">
      <c r="A44" s="11" t="s">
        <v>48</v>
      </c>
      <c r="B44" s="3">
        <v>71</v>
      </c>
      <c r="C44" s="3">
        <v>85</v>
      </c>
      <c r="D44" s="3">
        <v>84</v>
      </c>
      <c r="E44" s="3">
        <v>150</v>
      </c>
      <c r="F44" s="3">
        <v>229</v>
      </c>
      <c r="G44" s="3">
        <v>156</v>
      </c>
      <c r="H44" s="3">
        <v>306</v>
      </c>
      <c r="I44" s="3">
        <v>222</v>
      </c>
      <c r="J44" s="97"/>
      <c r="K44">
        <v>432</v>
      </c>
    </row>
    <row r="45" spans="1:11" x14ac:dyDescent="0.3">
      <c r="A45" s="4" t="s">
        <v>13</v>
      </c>
      <c r="B45" s="5">
        <f t="shared" ref="B45:H45" si="13">+SUM(B39:B44)</f>
        <v>6332</v>
      </c>
      <c r="C45" s="5">
        <f t="shared" si="13"/>
        <v>5358</v>
      </c>
      <c r="D45" s="5">
        <f t="shared" si="13"/>
        <v>5474</v>
      </c>
      <c r="E45" s="5">
        <f t="shared" si="13"/>
        <v>6040</v>
      </c>
      <c r="F45" s="5">
        <f t="shared" si="13"/>
        <v>7866</v>
      </c>
      <c r="G45" s="5">
        <f t="shared" si="13"/>
        <v>8284</v>
      </c>
      <c r="H45" s="5">
        <f t="shared" si="13"/>
        <v>9674</v>
      </c>
      <c r="I45" s="5">
        <f>+SUM(I39:I44)</f>
        <v>10730</v>
      </c>
      <c r="J45" s="41"/>
      <c r="K45" s="5">
        <f t="shared" ref="K45" si="14">+SUM(K39:K44)</f>
        <v>5027</v>
      </c>
    </row>
    <row r="46" spans="1:11" x14ac:dyDescent="0.3">
      <c r="A46" s="2" t="s">
        <v>49</v>
      </c>
      <c r="B46" s="3">
        <v>1079</v>
      </c>
      <c r="C46" s="3">
        <v>2010</v>
      </c>
      <c r="D46" s="3">
        <v>3471</v>
      </c>
      <c r="E46" s="3">
        <v>3468</v>
      </c>
      <c r="F46" s="3">
        <v>3464</v>
      </c>
      <c r="G46" s="3">
        <v>9406</v>
      </c>
      <c r="H46" s="3">
        <v>9413</v>
      </c>
      <c r="I46" s="3">
        <v>8920</v>
      </c>
      <c r="J46" s="97"/>
      <c r="K46">
        <v>1199</v>
      </c>
    </row>
    <row r="47" spans="1:11" x14ac:dyDescent="0.3">
      <c r="A47" s="2" t="s">
        <v>50</v>
      </c>
      <c r="B47" s="3"/>
      <c r="C47" s="3"/>
      <c r="D47" s="3"/>
      <c r="E47" s="3"/>
      <c r="F47" s="3"/>
      <c r="G47" s="3">
        <v>2913</v>
      </c>
      <c r="H47" s="3">
        <v>2931</v>
      </c>
      <c r="I47" s="3">
        <v>2777</v>
      </c>
      <c r="J47" s="97"/>
      <c r="K47">
        <v>0</v>
      </c>
    </row>
    <row r="48" spans="1:11" x14ac:dyDescent="0.3">
      <c r="A48" s="2" t="s">
        <v>51</v>
      </c>
      <c r="B48" s="3">
        <v>1479</v>
      </c>
      <c r="C48" s="3">
        <v>1770</v>
      </c>
      <c r="D48" s="3">
        <v>1907</v>
      </c>
      <c r="E48" s="3">
        <v>3216</v>
      </c>
      <c r="F48" s="3">
        <v>3347</v>
      </c>
      <c r="G48" s="3">
        <v>2684</v>
      </c>
      <c r="H48" s="3">
        <v>2955</v>
      </c>
      <c r="I48" s="3">
        <v>2613</v>
      </c>
      <c r="K48">
        <v>1544</v>
      </c>
    </row>
    <row r="49" spans="1:11" x14ac:dyDescent="0.3">
      <c r="A49" s="2" t="s">
        <v>52</v>
      </c>
      <c r="B49" s="3"/>
      <c r="C49" s="3"/>
      <c r="D49" s="3"/>
      <c r="E49" s="3"/>
      <c r="F49" s="3"/>
      <c r="G49" s="3"/>
      <c r="H49" s="3"/>
      <c r="I49" s="3"/>
    </row>
    <row r="50" spans="1:11" x14ac:dyDescent="0.3">
      <c r="A50" s="11" t="s">
        <v>53</v>
      </c>
      <c r="B50" s="3"/>
      <c r="C50" s="3"/>
      <c r="D50" s="3"/>
      <c r="E50" s="3"/>
      <c r="F50" s="3"/>
      <c r="G50" s="3"/>
      <c r="H50" s="3">
        <v>0</v>
      </c>
      <c r="I50" s="3">
        <v>0</v>
      </c>
    </row>
    <row r="51" spans="1:11" x14ac:dyDescent="0.3">
      <c r="A51" s="2" t="s">
        <v>54</v>
      </c>
      <c r="B51" s="3"/>
      <c r="C51" s="3"/>
      <c r="D51" s="3"/>
      <c r="E51" s="3"/>
      <c r="F51" s="3"/>
      <c r="G51" s="3"/>
      <c r="H51" s="3"/>
      <c r="I51" s="3"/>
    </row>
    <row r="52" spans="1:11" x14ac:dyDescent="0.3">
      <c r="A52" s="11" t="s">
        <v>55</v>
      </c>
      <c r="B52" s="3"/>
      <c r="C52" s="3"/>
      <c r="D52" s="3"/>
      <c r="E52" s="3"/>
      <c r="F52" s="3"/>
      <c r="G52" s="3"/>
      <c r="H52" s="3"/>
      <c r="I52" s="3"/>
    </row>
    <row r="53" spans="1:11" x14ac:dyDescent="0.3">
      <c r="A53" s="18" t="s">
        <v>56</v>
      </c>
      <c r="B53" s="3"/>
      <c r="C53" s="3"/>
      <c r="D53" s="3"/>
      <c r="E53" s="3"/>
      <c r="F53" s="3"/>
      <c r="G53" s="3"/>
      <c r="H53" s="3"/>
      <c r="I53" s="3"/>
    </row>
    <row r="54" spans="1:11" x14ac:dyDescent="0.3">
      <c r="A54" s="18" t="s">
        <v>57</v>
      </c>
      <c r="B54" s="3">
        <v>3</v>
      </c>
      <c r="C54" s="3">
        <v>3</v>
      </c>
      <c r="D54" s="3">
        <v>3</v>
      </c>
      <c r="E54" s="3">
        <v>3</v>
      </c>
      <c r="F54" s="3">
        <v>3</v>
      </c>
      <c r="G54" s="3">
        <v>3</v>
      </c>
      <c r="H54" s="3">
        <v>3</v>
      </c>
      <c r="I54" s="3">
        <v>3</v>
      </c>
      <c r="K54">
        <v>3</v>
      </c>
    </row>
    <row r="55" spans="1:11" x14ac:dyDescent="0.3">
      <c r="A55" s="18" t="s">
        <v>58</v>
      </c>
      <c r="B55" s="3">
        <v>6773</v>
      </c>
      <c r="C55" s="3">
        <v>7786</v>
      </c>
      <c r="D55" s="3">
        <v>5710</v>
      </c>
      <c r="E55" s="3">
        <v>6384</v>
      </c>
      <c r="F55" s="3">
        <v>7163</v>
      </c>
      <c r="G55" s="3">
        <v>8299</v>
      </c>
      <c r="H55" s="3">
        <v>9965</v>
      </c>
      <c r="I55" s="3">
        <v>11484</v>
      </c>
      <c r="K55">
        <v>5865</v>
      </c>
    </row>
    <row r="56" spans="1:11" x14ac:dyDescent="0.3">
      <c r="A56" s="18" t="s">
        <v>59</v>
      </c>
      <c r="B56" s="3">
        <v>1246</v>
      </c>
      <c r="C56" s="3">
        <v>318</v>
      </c>
      <c r="D56" s="3">
        <v>-213</v>
      </c>
      <c r="E56" s="3">
        <v>-92</v>
      </c>
      <c r="F56" s="3">
        <v>231</v>
      </c>
      <c r="G56" s="3">
        <v>-56</v>
      </c>
      <c r="H56" s="3">
        <v>-380</v>
      </c>
      <c r="I56" s="3">
        <v>318</v>
      </c>
      <c r="J56" s="97"/>
      <c r="K56">
        <v>85</v>
      </c>
    </row>
    <row r="57" spans="1:11" x14ac:dyDescent="0.3">
      <c r="A57" s="18" t="s">
        <v>60</v>
      </c>
      <c r="B57" s="3">
        <v>4685</v>
      </c>
      <c r="C57" s="3">
        <v>4151</v>
      </c>
      <c r="D57" s="3">
        <v>6907</v>
      </c>
      <c r="E57" s="3">
        <v>3517</v>
      </c>
      <c r="F57" s="3">
        <v>1643</v>
      </c>
      <c r="G57" s="3">
        <v>-191</v>
      </c>
      <c r="H57" s="3">
        <v>3179</v>
      </c>
      <c r="I57" s="3">
        <v>3476</v>
      </c>
      <c r="J57" s="97"/>
      <c r="K57">
        <v>4871</v>
      </c>
    </row>
    <row r="58" spans="1:11" x14ac:dyDescent="0.3">
      <c r="A58" s="4" t="s">
        <v>61</v>
      </c>
      <c r="B58" s="5">
        <f t="shared" ref="B58:H58" si="15">+SUM(B53:B57)</f>
        <v>12707</v>
      </c>
      <c r="C58" s="5">
        <f t="shared" si="15"/>
        <v>12258</v>
      </c>
      <c r="D58" s="5">
        <f t="shared" si="15"/>
        <v>12407</v>
      </c>
      <c r="E58" s="5">
        <f t="shared" si="15"/>
        <v>9812</v>
      </c>
      <c r="F58" s="5">
        <f t="shared" si="15"/>
        <v>9040</v>
      </c>
      <c r="G58" s="5">
        <f t="shared" si="15"/>
        <v>8055</v>
      </c>
      <c r="H58" s="5">
        <f t="shared" si="15"/>
        <v>12767</v>
      </c>
      <c r="I58" s="5">
        <f>+SUM(I53:I57)</f>
        <v>15281</v>
      </c>
      <c r="J58" s="41"/>
      <c r="K58" s="5">
        <f t="shared" ref="K58" si="16">+SUM(K53:K57)</f>
        <v>10824</v>
      </c>
    </row>
    <row r="59" spans="1:11" ht="15" thickBot="1" x14ac:dyDescent="0.35">
      <c r="A59" s="6" t="s">
        <v>62</v>
      </c>
      <c r="B59" s="7">
        <f t="shared" ref="B59:H59" si="17">+SUM(B45:B50)+B58</f>
        <v>21597</v>
      </c>
      <c r="C59" s="7">
        <f t="shared" si="17"/>
        <v>21396</v>
      </c>
      <c r="D59" s="7">
        <f t="shared" si="17"/>
        <v>23259</v>
      </c>
      <c r="E59" s="7">
        <f t="shared" si="17"/>
        <v>22536</v>
      </c>
      <c r="F59" s="7">
        <f t="shared" si="17"/>
        <v>23717</v>
      </c>
      <c r="G59" s="7">
        <f t="shared" si="17"/>
        <v>31342</v>
      </c>
      <c r="H59" s="7">
        <f t="shared" si="17"/>
        <v>37740</v>
      </c>
      <c r="I59" s="7">
        <f>+SUM(I45:I50)+I58</f>
        <v>40321</v>
      </c>
      <c r="J59" s="41"/>
      <c r="K59" s="7">
        <f t="shared" ref="K59" si="18">+SUM(K45:K50)+K58</f>
        <v>18594</v>
      </c>
    </row>
    <row r="60" spans="1:11" s="12" customFormat="1" ht="15" thickTop="1" x14ac:dyDescent="0.3">
      <c r="A60" s="12" t="s">
        <v>3</v>
      </c>
      <c r="B60" s="13">
        <f t="shared" ref="B60:H60" si="19">+B59-B36</f>
        <v>0</v>
      </c>
      <c r="C60" s="13">
        <f t="shared" si="19"/>
        <v>0</v>
      </c>
      <c r="D60" s="13">
        <f t="shared" si="19"/>
        <v>0</v>
      </c>
      <c r="E60" s="13">
        <f t="shared" si="19"/>
        <v>0</v>
      </c>
      <c r="F60" s="13">
        <f t="shared" si="19"/>
        <v>0</v>
      </c>
      <c r="G60" s="13">
        <f t="shared" si="19"/>
        <v>0</v>
      </c>
      <c r="H60" s="13">
        <f t="shared" si="19"/>
        <v>0</v>
      </c>
      <c r="I60" s="13">
        <f>+I59-I36</f>
        <v>0</v>
      </c>
      <c r="J60" s="13"/>
      <c r="K60" s="13">
        <f t="shared" ref="K60" si="20">+K59-K36</f>
        <v>0</v>
      </c>
    </row>
    <row r="61" spans="1:11" x14ac:dyDescent="0.3">
      <c r="A61" s="14" t="s">
        <v>1</v>
      </c>
      <c r="B61" s="14"/>
      <c r="C61" s="14"/>
      <c r="D61" s="14"/>
      <c r="E61" s="14"/>
      <c r="F61" s="14"/>
      <c r="G61" s="14"/>
      <c r="H61" s="14"/>
      <c r="I61" s="14"/>
    </row>
    <row r="62" spans="1:11" x14ac:dyDescent="0.3">
      <c r="A62" t="s">
        <v>15</v>
      </c>
    </row>
    <row r="63" spans="1:11" x14ac:dyDescent="0.3">
      <c r="A63" s="1" t="s">
        <v>63</v>
      </c>
    </row>
    <row r="64" spans="1:11" s="1" customFormat="1" x14ac:dyDescent="0.3">
      <c r="A64" s="10" t="s">
        <v>64</v>
      </c>
      <c r="B64" s="9">
        <v>3273</v>
      </c>
      <c r="C64" s="9">
        <v>3760</v>
      </c>
      <c r="D64" s="9">
        <v>4240</v>
      </c>
      <c r="E64" s="9">
        <v>1933</v>
      </c>
      <c r="F64" s="9">
        <v>4029</v>
      </c>
      <c r="G64" s="9">
        <v>2539</v>
      </c>
      <c r="H64" s="9">
        <f>+H12</f>
        <v>5727</v>
      </c>
      <c r="I64" s="9">
        <f>+I12</f>
        <v>6046</v>
      </c>
      <c r="K64" s="1">
        <v>2693</v>
      </c>
    </row>
    <row r="65" spans="1:11" s="1" customFormat="1" x14ac:dyDescent="0.3">
      <c r="A65" s="2" t="s">
        <v>65</v>
      </c>
      <c r="B65" s="3"/>
      <c r="C65" s="3"/>
      <c r="D65" s="3"/>
      <c r="E65" s="3"/>
      <c r="F65" s="3"/>
      <c r="G65" s="3"/>
      <c r="H65" s="3"/>
      <c r="I65" s="3"/>
    </row>
    <row r="66" spans="1:11" s="17" customFormat="1" x14ac:dyDescent="0.3">
      <c r="A66" s="11" t="s">
        <v>66</v>
      </c>
      <c r="B66" s="3">
        <v>606</v>
      </c>
      <c r="C66" s="3">
        <v>649</v>
      </c>
      <c r="D66" s="3">
        <v>706</v>
      </c>
      <c r="E66" s="3">
        <v>747</v>
      </c>
      <c r="F66" s="3">
        <v>705</v>
      </c>
      <c r="G66" s="3">
        <v>721</v>
      </c>
      <c r="H66" s="3">
        <v>744</v>
      </c>
      <c r="I66" s="3">
        <v>717</v>
      </c>
      <c r="K66" s="17">
        <v>518</v>
      </c>
    </row>
    <row r="67" spans="1:11" s="17" customFormat="1" x14ac:dyDescent="0.3">
      <c r="A67" s="11" t="s">
        <v>67</v>
      </c>
      <c r="B67" s="3">
        <v>-113</v>
      </c>
      <c r="C67" s="3">
        <v>-80</v>
      </c>
      <c r="D67" s="3">
        <v>-273</v>
      </c>
      <c r="E67" s="3">
        <v>647</v>
      </c>
      <c r="F67" s="3">
        <v>34</v>
      </c>
      <c r="G67" s="3">
        <v>-380</v>
      </c>
      <c r="H67" s="3">
        <v>-385</v>
      </c>
      <c r="I67" s="3">
        <v>-650</v>
      </c>
      <c r="K67" s="17">
        <v>-11</v>
      </c>
    </row>
    <row r="68" spans="1:11" s="17" customFormat="1" x14ac:dyDescent="0.3">
      <c r="A68" s="11" t="s">
        <v>68</v>
      </c>
      <c r="B68" s="3">
        <v>119</v>
      </c>
      <c r="C68" s="3">
        <v>236</v>
      </c>
      <c r="D68" s="3">
        <v>215</v>
      </c>
      <c r="E68" s="3">
        <v>218</v>
      </c>
      <c r="F68" s="3">
        <v>325</v>
      </c>
      <c r="G68" s="3">
        <v>429</v>
      </c>
      <c r="H68" s="3">
        <v>611</v>
      </c>
      <c r="I68" s="3">
        <v>638</v>
      </c>
      <c r="K68" s="17">
        <v>177</v>
      </c>
    </row>
    <row r="69" spans="1:11" s="17" customFormat="1" x14ac:dyDescent="0.3">
      <c r="A69" s="11" t="s">
        <v>69</v>
      </c>
      <c r="B69" s="3">
        <v>43</v>
      </c>
      <c r="C69" s="3">
        <v>13</v>
      </c>
      <c r="D69" s="3">
        <v>10</v>
      </c>
      <c r="E69" s="3">
        <v>27</v>
      </c>
      <c r="F69" s="3">
        <v>15</v>
      </c>
      <c r="G69" s="3">
        <v>398</v>
      </c>
      <c r="H69" s="3">
        <v>53</v>
      </c>
      <c r="I69" s="3">
        <v>123</v>
      </c>
      <c r="K69" s="17">
        <v>114</v>
      </c>
    </row>
    <row r="70" spans="1:11" s="17" customFormat="1" x14ac:dyDescent="0.3">
      <c r="A70" s="11" t="s">
        <v>70</v>
      </c>
      <c r="B70" s="3">
        <v>424</v>
      </c>
      <c r="C70" s="3">
        <v>98</v>
      </c>
      <c r="D70" s="3">
        <v>-117</v>
      </c>
      <c r="E70" s="3">
        <v>-99</v>
      </c>
      <c r="F70" s="3">
        <v>233</v>
      </c>
      <c r="G70" s="3">
        <v>23</v>
      </c>
      <c r="H70" s="3">
        <v>-138</v>
      </c>
      <c r="I70" s="3">
        <v>-26</v>
      </c>
      <c r="K70" s="17">
        <v>0</v>
      </c>
    </row>
    <row r="71" spans="1:11" s="17" customFormat="1" x14ac:dyDescent="0.3">
      <c r="A71" s="2" t="s">
        <v>71</v>
      </c>
      <c r="B71" s="3"/>
      <c r="C71" s="3"/>
      <c r="D71" s="3"/>
      <c r="E71" s="3"/>
      <c r="F71" s="3"/>
      <c r="G71" s="3"/>
      <c r="H71" s="3"/>
      <c r="I71" s="3"/>
    </row>
    <row r="72" spans="1:11" s="17" customFormat="1" x14ac:dyDescent="0.3">
      <c r="A72" s="11" t="s">
        <v>72</v>
      </c>
      <c r="B72" s="3">
        <v>-216</v>
      </c>
      <c r="C72" s="3">
        <v>60</v>
      </c>
      <c r="D72" s="3">
        <v>-426</v>
      </c>
      <c r="E72" s="3">
        <v>187</v>
      </c>
      <c r="F72" s="3">
        <v>-270</v>
      </c>
      <c r="G72" s="3">
        <v>1239</v>
      </c>
      <c r="H72" s="3">
        <v>-1606</v>
      </c>
      <c r="I72" s="3">
        <v>-504</v>
      </c>
      <c r="K72" s="17">
        <v>-298</v>
      </c>
    </row>
    <row r="73" spans="1:11" s="17" customFormat="1" x14ac:dyDescent="0.3">
      <c r="A73" s="11" t="s">
        <v>73</v>
      </c>
      <c r="B73" s="3">
        <v>-621</v>
      </c>
      <c r="C73" s="3">
        <v>-590</v>
      </c>
      <c r="D73" s="3">
        <v>-231</v>
      </c>
      <c r="E73" s="3">
        <v>-255</v>
      </c>
      <c r="F73" s="3">
        <v>-490</v>
      </c>
      <c r="G73" s="3">
        <v>-1854</v>
      </c>
      <c r="H73" s="3">
        <v>507</v>
      </c>
      <c r="I73" s="3">
        <v>-1676</v>
      </c>
      <c r="K73" s="17">
        <v>-505</v>
      </c>
    </row>
    <row r="74" spans="1:11" s="17" customFormat="1" x14ac:dyDescent="0.3">
      <c r="A74" s="11" t="s">
        <v>98</v>
      </c>
      <c r="B74" s="3">
        <v>-144</v>
      </c>
      <c r="C74" s="3">
        <v>-161</v>
      </c>
      <c r="D74" s="3">
        <v>-120</v>
      </c>
      <c r="E74" s="3">
        <v>35</v>
      </c>
      <c r="F74" s="3">
        <v>-203</v>
      </c>
      <c r="G74" s="3">
        <v>-654</v>
      </c>
      <c r="H74" s="3">
        <v>-182</v>
      </c>
      <c r="I74" s="3">
        <v>-845</v>
      </c>
      <c r="J74" s="98"/>
      <c r="K74" s="17">
        <v>-210</v>
      </c>
    </row>
    <row r="75" spans="1:11" s="17" customFormat="1" x14ac:dyDescent="0.3">
      <c r="A75" s="11" t="s">
        <v>97</v>
      </c>
      <c r="B75" s="3">
        <v>1237</v>
      </c>
      <c r="C75" s="3">
        <v>-586</v>
      </c>
      <c r="D75" s="3">
        <v>-158</v>
      </c>
      <c r="E75" s="3">
        <v>1515</v>
      </c>
      <c r="F75" s="3">
        <v>1525</v>
      </c>
      <c r="G75" s="3">
        <v>24</v>
      </c>
      <c r="H75" s="3">
        <v>1326</v>
      </c>
      <c r="I75" s="3">
        <v>1365</v>
      </c>
      <c r="J75" s="98"/>
      <c r="K75" s="17">
        <v>525</v>
      </c>
    </row>
    <row r="76" spans="1:11" s="17" customFormat="1" x14ac:dyDescent="0.3">
      <c r="A76" s="26" t="s">
        <v>74</v>
      </c>
      <c r="B76" s="27">
        <f t="shared" ref="B76:H76" si="21">+SUM(B64:B75)</f>
        <v>4608</v>
      </c>
      <c r="C76" s="27">
        <f t="shared" si="21"/>
        <v>3399</v>
      </c>
      <c r="D76" s="27">
        <f t="shared" si="21"/>
        <v>3846</v>
      </c>
      <c r="E76" s="27">
        <f t="shared" si="21"/>
        <v>4955</v>
      </c>
      <c r="F76" s="27">
        <f t="shared" si="21"/>
        <v>5903</v>
      </c>
      <c r="G76" s="27">
        <f t="shared" si="21"/>
        <v>2485</v>
      </c>
      <c r="H76" s="27">
        <f t="shared" si="21"/>
        <v>6657</v>
      </c>
      <c r="I76" s="27">
        <f>+SUM(I64:I75)</f>
        <v>5188</v>
      </c>
      <c r="J76" s="41"/>
      <c r="K76" s="27">
        <f t="shared" ref="K76" si="22">+SUM(K64:K75)</f>
        <v>3003</v>
      </c>
    </row>
    <row r="77" spans="1:11" s="17" customFormat="1" x14ac:dyDescent="0.3">
      <c r="A77" s="1" t="s">
        <v>75</v>
      </c>
      <c r="B77" s="3"/>
      <c r="C77" s="3"/>
      <c r="D77" s="3"/>
      <c r="E77" s="3"/>
      <c r="F77" s="3"/>
      <c r="G77" s="3"/>
      <c r="H77" s="3"/>
      <c r="I77" s="3"/>
      <c r="J77" s="98"/>
    </row>
    <row r="78" spans="1:11" s="17" customFormat="1" x14ac:dyDescent="0.3">
      <c r="A78" s="2" t="s">
        <v>76</v>
      </c>
      <c r="B78" s="3">
        <v>-4936</v>
      </c>
      <c r="C78" s="3">
        <v>-5367</v>
      </c>
      <c r="D78" s="3">
        <v>-5928</v>
      </c>
      <c r="E78" s="3">
        <v>-4783</v>
      </c>
      <c r="F78" s="3">
        <v>-2937</v>
      </c>
      <c r="G78" s="3">
        <v>-2426</v>
      </c>
      <c r="H78" s="3">
        <v>-9961</v>
      </c>
      <c r="I78" s="3">
        <v>-12913</v>
      </c>
      <c r="J78" s="98"/>
      <c r="K78" s="17">
        <v>-5386</v>
      </c>
    </row>
    <row r="79" spans="1:11" s="17" customFormat="1" x14ac:dyDescent="0.3">
      <c r="A79" s="2" t="s">
        <v>77</v>
      </c>
      <c r="B79" s="3">
        <v>3655</v>
      </c>
      <c r="C79" s="3">
        <v>2924</v>
      </c>
      <c r="D79" s="3">
        <v>3623</v>
      </c>
      <c r="E79" s="3">
        <v>3613</v>
      </c>
      <c r="F79" s="3">
        <v>1715</v>
      </c>
      <c r="G79" s="3">
        <v>74</v>
      </c>
      <c r="H79" s="3">
        <v>4236</v>
      </c>
      <c r="I79" s="3">
        <v>8199</v>
      </c>
      <c r="K79" s="17">
        <v>3932</v>
      </c>
    </row>
    <row r="80" spans="1:11" s="17" customFormat="1" x14ac:dyDescent="0.3">
      <c r="A80" s="2" t="s">
        <v>78</v>
      </c>
      <c r="B80" s="3">
        <v>2216</v>
      </c>
      <c r="C80" s="3">
        <v>2386</v>
      </c>
      <c r="D80" s="3">
        <v>2423</v>
      </c>
      <c r="E80" s="3">
        <v>2496</v>
      </c>
      <c r="F80" s="3">
        <v>2072</v>
      </c>
      <c r="G80" s="3">
        <v>2379</v>
      </c>
      <c r="H80" s="3">
        <v>2449</v>
      </c>
      <c r="I80" s="3">
        <v>3967</v>
      </c>
      <c r="K80" s="17">
        <v>1126</v>
      </c>
    </row>
    <row r="81" spans="1:13" s="17" customFormat="1" x14ac:dyDescent="0.3">
      <c r="A81" s="2" t="s">
        <v>14</v>
      </c>
      <c r="B81" s="3">
        <v>-963</v>
      </c>
      <c r="C81" s="3">
        <v>-1143</v>
      </c>
      <c r="D81" s="3">
        <v>-1105</v>
      </c>
      <c r="E81" s="3">
        <v>-1028</v>
      </c>
      <c r="F81" s="3">
        <v>-1119</v>
      </c>
      <c r="G81" s="3">
        <v>-1086</v>
      </c>
      <c r="H81" s="3">
        <v>-695</v>
      </c>
      <c r="I81" s="3">
        <v>-758</v>
      </c>
      <c r="J81" s="98"/>
      <c r="K81" s="17">
        <v>-880</v>
      </c>
    </row>
    <row r="82" spans="1:13" s="17" customFormat="1" x14ac:dyDescent="0.3">
      <c r="A82" s="2" t="s">
        <v>79</v>
      </c>
      <c r="B82" s="3">
        <v>-75</v>
      </c>
      <c r="C82" s="3">
        <v>166</v>
      </c>
      <c r="D82" s="3">
        <v>-21</v>
      </c>
      <c r="E82" s="3">
        <v>-22</v>
      </c>
      <c r="F82" s="3">
        <v>5</v>
      </c>
      <c r="G82" s="3">
        <v>31</v>
      </c>
      <c r="H82" s="3">
        <v>171</v>
      </c>
      <c r="I82" s="3">
        <v>-19</v>
      </c>
      <c r="J82" s="98"/>
      <c r="K82" s="3">
        <v>1</v>
      </c>
    </row>
    <row r="83" spans="1:13" s="17" customFormat="1" x14ac:dyDescent="0.3">
      <c r="A83" s="28" t="s">
        <v>80</v>
      </c>
      <c r="B83" s="27">
        <f t="shared" ref="B83:H83" si="23">+SUM(B78:B82)</f>
        <v>-103</v>
      </c>
      <c r="C83" s="27">
        <f t="shared" si="23"/>
        <v>-1034</v>
      </c>
      <c r="D83" s="27">
        <f t="shared" si="23"/>
        <v>-1008</v>
      </c>
      <c r="E83" s="27">
        <f t="shared" si="23"/>
        <v>276</v>
      </c>
      <c r="F83" s="27">
        <f t="shared" si="23"/>
        <v>-264</v>
      </c>
      <c r="G83" s="27">
        <f t="shared" si="23"/>
        <v>-1028</v>
      </c>
      <c r="H83" s="27">
        <f t="shared" si="23"/>
        <v>-3800</v>
      </c>
      <c r="I83" s="27">
        <f>+SUM(I78:I82)</f>
        <v>-1524</v>
      </c>
      <c r="J83" s="41"/>
      <c r="K83" s="27">
        <f t="shared" ref="K83" si="24">+SUM(K78:K82)</f>
        <v>-1207</v>
      </c>
    </row>
    <row r="84" spans="1:13" s="17" customFormat="1" x14ac:dyDescent="0.3">
      <c r="A84" s="1" t="s">
        <v>81</v>
      </c>
      <c r="B84" s="3"/>
      <c r="C84" s="3"/>
      <c r="D84" s="3"/>
      <c r="E84" s="3"/>
      <c r="F84" s="3"/>
      <c r="G84" s="3"/>
      <c r="H84" s="3"/>
      <c r="I84" s="3"/>
      <c r="J84" s="98"/>
    </row>
    <row r="85" spans="1:13" s="17" customFormat="1" x14ac:dyDescent="0.3">
      <c r="A85" s="2" t="s">
        <v>82</v>
      </c>
      <c r="B85" s="3">
        <v>0</v>
      </c>
      <c r="C85" s="3">
        <v>981</v>
      </c>
      <c r="D85" s="3">
        <v>1482</v>
      </c>
      <c r="E85" s="3">
        <v>0</v>
      </c>
      <c r="F85" s="3">
        <v>0</v>
      </c>
      <c r="G85" s="3">
        <v>6134</v>
      </c>
      <c r="H85" s="3">
        <v>0</v>
      </c>
      <c r="I85" s="3">
        <v>0</v>
      </c>
      <c r="J85" s="98"/>
      <c r="K85" s="17" t="s">
        <v>213</v>
      </c>
    </row>
    <row r="86" spans="1:13" s="17" customFormat="1" x14ac:dyDescent="0.3">
      <c r="A86" s="2" t="s">
        <v>83</v>
      </c>
      <c r="B86" s="3">
        <v>-63</v>
      </c>
      <c r="C86" s="3">
        <v>-67</v>
      </c>
      <c r="D86" s="3">
        <v>327</v>
      </c>
      <c r="E86" s="3">
        <v>13</v>
      </c>
      <c r="F86" s="3">
        <v>-325</v>
      </c>
      <c r="G86" s="3">
        <v>49</v>
      </c>
      <c r="H86" s="3">
        <v>-52</v>
      </c>
      <c r="I86" s="3">
        <v>15</v>
      </c>
      <c r="K86" s="17">
        <v>75</v>
      </c>
    </row>
    <row r="87" spans="1:13" s="17" customFormat="1" x14ac:dyDescent="0.3">
      <c r="A87" s="2" t="s">
        <v>84</v>
      </c>
      <c r="B87" s="3">
        <v>-19</v>
      </c>
      <c r="C87" s="3">
        <v>-7</v>
      </c>
      <c r="D87" s="3">
        <v>-17</v>
      </c>
      <c r="E87" s="3">
        <v>-23</v>
      </c>
      <c r="F87" s="3">
        <v>0</v>
      </c>
      <c r="G87" s="3">
        <v>0</v>
      </c>
      <c r="H87" s="3">
        <v>-197</v>
      </c>
      <c r="I87" s="3">
        <v>0</v>
      </c>
      <c r="K87" s="17">
        <v>-17</v>
      </c>
    </row>
    <row r="88" spans="1:13" s="17" customFormat="1" x14ac:dyDescent="0.3">
      <c r="A88" s="2" t="s">
        <v>85</v>
      </c>
      <c r="B88" s="3">
        <v>514</v>
      </c>
      <c r="C88" s="3">
        <v>507</v>
      </c>
      <c r="D88" s="3">
        <v>489</v>
      </c>
      <c r="E88" s="3">
        <v>733</v>
      </c>
      <c r="F88" s="3">
        <v>700</v>
      </c>
      <c r="G88" s="3">
        <v>885</v>
      </c>
      <c r="H88" s="3">
        <v>1172</v>
      </c>
      <c r="I88" s="3">
        <v>1151</v>
      </c>
      <c r="K88" s="17">
        <v>383</v>
      </c>
      <c r="L88" s="122">
        <f>K88+K89</f>
        <v>-2245</v>
      </c>
      <c r="M88" s="122" t="s">
        <v>286</v>
      </c>
    </row>
    <row r="89" spans="1:13" s="17" customFormat="1" x14ac:dyDescent="0.3">
      <c r="A89" s="2" t="s">
        <v>16</v>
      </c>
      <c r="B89" s="3">
        <v>218</v>
      </c>
      <c r="C89" s="3">
        <v>-3238</v>
      </c>
      <c r="D89" s="3">
        <v>-3223</v>
      </c>
      <c r="E89" s="3">
        <v>-4254</v>
      </c>
      <c r="F89" s="3">
        <v>-4286</v>
      </c>
      <c r="G89" s="3">
        <v>-3067</v>
      </c>
      <c r="H89" s="3">
        <v>-608</v>
      </c>
      <c r="I89" s="3">
        <v>-4014</v>
      </c>
      <c r="K89" s="17">
        <v>-2628</v>
      </c>
    </row>
    <row r="90" spans="1:13" s="17" customFormat="1" x14ac:dyDescent="0.3">
      <c r="A90" s="2" t="s">
        <v>86</v>
      </c>
      <c r="B90" s="3">
        <v>-2534</v>
      </c>
      <c r="C90" s="3">
        <v>-1022</v>
      </c>
      <c r="D90" s="3">
        <v>-1133</v>
      </c>
      <c r="E90" s="3">
        <v>-1243</v>
      </c>
      <c r="F90" s="3">
        <v>-1332</v>
      </c>
      <c r="G90" s="3">
        <v>-1452</v>
      </c>
      <c r="H90" s="3">
        <v>-1638</v>
      </c>
      <c r="I90" s="3">
        <v>-1837</v>
      </c>
      <c r="J90" s="98"/>
      <c r="K90" s="17">
        <v>-799</v>
      </c>
    </row>
    <row r="91" spans="1:13" s="17" customFormat="1" x14ac:dyDescent="0.3">
      <c r="A91" s="2" t="s">
        <v>87</v>
      </c>
      <c r="B91" s="3">
        <v>-906</v>
      </c>
      <c r="C91" s="3">
        <v>-128</v>
      </c>
      <c r="D91" s="3">
        <v>-73</v>
      </c>
      <c r="E91" s="3">
        <v>-61</v>
      </c>
      <c r="F91" s="3">
        <v>-50</v>
      </c>
      <c r="G91" s="3">
        <v>-58</v>
      </c>
      <c r="H91" s="3">
        <v>-136</v>
      </c>
      <c r="I91" s="3">
        <v>-151</v>
      </c>
      <c r="J91" s="98"/>
      <c r="K91" s="3">
        <v>72</v>
      </c>
    </row>
    <row r="92" spans="1:13" s="17" customFormat="1" x14ac:dyDescent="0.3">
      <c r="A92" s="28" t="s">
        <v>88</v>
      </c>
      <c r="B92" s="27">
        <f t="shared" ref="B92:H92" si="25">+SUM(B85:B91)</f>
        <v>-2790</v>
      </c>
      <c r="C92" s="27">
        <f t="shared" si="25"/>
        <v>-2974</v>
      </c>
      <c r="D92" s="27">
        <f t="shared" si="25"/>
        <v>-2148</v>
      </c>
      <c r="E92" s="27">
        <f t="shared" si="25"/>
        <v>-4835</v>
      </c>
      <c r="F92" s="27">
        <f t="shared" si="25"/>
        <v>-5293</v>
      </c>
      <c r="G92" s="27">
        <f t="shared" si="25"/>
        <v>2491</v>
      </c>
      <c r="H92" s="27">
        <f t="shared" si="25"/>
        <v>-1459</v>
      </c>
      <c r="I92" s="27">
        <f>+SUM(I85:I91)</f>
        <v>-4836</v>
      </c>
      <c r="J92" s="41"/>
      <c r="K92" s="27">
        <f t="shared" ref="K92" si="26">+SUM(K85:K91)</f>
        <v>-2914</v>
      </c>
    </row>
    <row r="93" spans="1:13" s="17" customFormat="1" x14ac:dyDescent="0.3">
      <c r="A93" s="2" t="s">
        <v>89</v>
      </c>
      <c r="B93" s="3">
        <v>-83</v>
      </c>
      <c r="C93" s="3">
        <v>-105</v>
      </c>
      <c r="D93" s="3">
        <v>-20</v>
      </c>
      <c r="E93" s="3">
        <v>45</v>
      </c>
      <c r="F93" s="3">
        <v>-129</v>
      </c>
      <c r="G93" s="3">
        <v>-66</v>
      </c>
      <c r="H93" s="3">
        <v>143</v>
      </c>
      <c r="I93" s="3">
        <v>-143</v>
      </c>
      <c r="J93" s="98"/>
      <c r="K93" s="17">
        <v>1</v>
      </c>
    </row>
    <row r="94" spans="1:13" s="17" customFormat="1" x14ac:dyDescent="0.3">
      <c r="A94" s="28" t="s">
        <v>90</v>
      </c>
      <c r="B94" s="27">
        <f t="shared" ref="B94:H94" si="27">+B76+B83+B92+B93</f>
        <v>1632</v>
      </c>
      <c r="C94" s="27">
        <f t="shared" si="27"/>
        <v>-714</v>
      </c>
      <c r="D94" s="27">
        <f t="shared" si="27"/>
        <v>670</v>
      </c>
      <c r="E94" s="27">
        <f t="shared" si="27"/>
        <v>441</v>
      </c>
      <c r="F94" s="27">
        <f t="shared" si="27"/>
        <v>217</v>
      </c>
      <c r="G94" s="27">
        <f t="shared" si="27"/>
        <v>3882</v>
      </c>
      <c r="H94" s="27">
        <f t="shared" si="27"/>
        <v>1541</v>
      </c>
      <c r="I94" s="27">
        <f>+I76+I83+I92+I93</f>
        <v>-1315</v>
      </c>
      <c r="J94" s="98"/>
      <c r="K94" s="17">
        <v>-1117</v>
      </c>
    </row>
    <row r="95" spans="1:13" s="17" customFormat="1" x14ac:dyDescent="0.3">
      <c r="A95" t="s">
        <v>91</v>
      </c>
      <c r="B95" s="3">
        <v>2220</v>
      </c>
      <c r="C95" s="3">
        <v>3852</v>
      </c>
      <c r="D95" s="3">
        <v>3138</v>
      </c>
      <c r="E95" s="3">
        <v>3808</v>
      </c>
      <c r="F95" s="3">
        <v>4249</v>
      </c>
      <c r="G95" s="3">
        <v>4466</v>
      </c>
      <c r="H95" s="3">
        <v>8348</v>
      </c>
      <c r="I95" s="3">
        <f>+H96</f>
        <v>9889</v>
      </c>
      <c r="J95" s="98"/>
      <c r="K95" s="17">
        <v>3337</v>
      </c>
    </row>
    <row r="96" spans="1:13" s="17" customFormat="1" ht="15" thickBot="1" x14ac:dyDescent="0.35">
      <c r="A96" s="6" t="s">
        <v>92</v>
      </c>
      <c r="B96" s="7">
        <f t="shared" ref="B96:H96" si="28">+B94+B95</f>
        <v>3852</v>
      </c>
      <c r="C96" s="7">
        <f t="shared" si="28"/>
        <v>3138</v>
      </c>
      <c r="D96" s="7">
        <f t="shared" si="28"/>
        <v>3808</v>
      </c>
      <c r="E96" s="7">
        <f t="shared" si="28"/>
        <v>4249</v>
      </c>
      <c r="F96" s="7">
        <f t="shared" si="28"/>
        <v>4466</v>
      </c>
      <c r="G96" s="7">
        <f t="shared" si="28"/>
        <v>8348</v>
      </c>
      <c r="H96" s="7">
        <f t="shared" si="28"/>
        <v>9889</v>
      </c>
      <c r="I96" s="7">
        <f>+I94+I95</f>
        <v>8574</v>
      </c>
      <c r="J96" s="41"/>
      <c r="K96" s="7">
        <f t="shared" ref="K96" si="29">+K94+K95</f>
        <v>2220</v>
      </c>
    </row>
    <row r="97" spans="1:11" s="12" customFormat="1" ht="15" thickTop="1" x14ac:dyDescent="0.3">
      <c r="A97" s="12" t="s">
        <v>19</v>
      </c>
      <c r="B97" s="13">
        <f t="shared" ref="B97:H97" si="30">+B96-B25</f>
        <v>0</v>
      </c>
      <c r="C97" s="13">
        <f t="shared" si="30"/>
        <v>0</v>
      </c>
      <c r="D97" s="13">
        <f t="shared" si="30"/>
        <v>0</v>
      </c>
      <c r="E97" s="13">
        <f t="shared" si="30"/>
        <v>0</v>
      </c>
      <c r="F97" s="13">
        <f t="shared" si="30"/>
        <v>0</v>
      </c>
      <c r="G97" s="13">
        <f t="shared" si="30"/>
        <v>0</v>
      </c>
      <c r="H97" s="13">
        <f t="shared" si="30"/>
        <v>0</v>
      </c>
      <c r="I97" s="13">
        <f>+I96-I25</f>
        <v>0</v>
      </c>
      <c r="J97" s="99"/>
      <c r="K97" s="13">
        <f t="shared" ref="K97" si="31">+K96-K25</f>
        <v>0</v>
      </c>
    </row>
    <row r="98" spans="1:11" s="17" customFormat="1" x14ac:dyDescent="0.3">
      <c r="A98" t="s">
        <v>93</v>
      </c>
      <c r="B98" s="3"/>
      <c r="C98" s="3"/>
      <c r="D98" s="3"/>
      <c r="E98" s="3"/>
      <c r="F98" s="3"/>
      <c r="G98" s="3"/>
      <c r="H98" s="3"/>
      <c r="I98" s="3"/>
      <c r="J98" s="98"/>
    </row>
    <row r="99" spans="1:11" s="17" customFormat="1" x14ac:dyDescent="0.3">
      <c r="A99" s="2" t="s">
        <v>17</v>
      </c>
      <c r="B99" s="3"/>
      <c r="C99" s="3"/>
      <c r="D99" s="3"/>
      <c r="E99" s="3"/>
      <c r="F99" s="3"/>
      <c r="G99" s="3"/>
      <c r="H99" s="3"/>
      <c r="I99" s="3"/>
    </row>
    <row r="100" spans="1:11" s="17" customFormat="1" x14ac:dyDescent="0.3">
      <c r="A100" s="11" t="s">
        <v>94</v>
      </c>
      <c r="B100" s="3">
        <v>53</v>
      </c>
      <c r="C100" s="3">
        <v>70</v>
      </c>
      <c r="D100" s="3">
        <v>98</v>
      </c>
      <c r="E100" s="3">
        <v>125</v>
      </c>
      <c r="F100" s="3">
        <v>153</v>
      </c>
      <c r="G100" s="3">
        <v>140</v>
      </c>
      <c r="H100" s="3">
        <v>293</v>
      </c>
      <c r="I100" s="3">
        <v>290</v>
      </c>
      <c r="K100" s="17">
        <v>53</v>
      </c>
    </row>
    <row r="101" spans="1:11" s="17" customFormat="1" x14ac:dyDescent="0.3">
      <c r="A101" s="11" t="s">
        <v>18</v>
      </c>
      <c r="B101" s="3">
        <v>1262</v>
      </c>
      <c r="C101" s="3">
        <v>748</v>
      </c>
      <c r="D101" s="3">
        <v>703</v>
      </c>
      <c r="E101" s="3">
        <v>529</v>
      </c>
      <c r="F101" s="3">
        <v>757</v>
      </c>
      <c r="G101" s="3">
        <v>1028</v>
      </c>
      <c r="H101" s="3">
        <v>1177</v>
      </c>
      <c r="I101" s="3">
        <v>1231</v>
      </c>
      <c r="K101" s="17">
        <v>856</v>
      </c>
    </row>
    <row r="102" spans="1:11" s="17" customFormat="1" x14ac:dyDescent="0.3">
      <c r="A102" s="11" t="s">
        <v>95</v>
      </c>
      <c r="B102" s="3">
        <v>206</v>
      </c>
      <c r="C102" s="3">
        <v>252</v>
      </c>
      <c r="D102" s="3">
        <v>266</v>
      </c>
      <c r="E102" s="3">
        <v>294</v>
      </c>
      <c r="F102" s="3">
        <v>160</v>
      </c>
      <c r="G102" s="3">
        <v>121</v>
      </c>
      <c r="H102" s="3">
        <v>179</v>
      </c>
      <c r="I102" s="3">
        <v>160</v>
      </c>
      <c r="K102" s="17">
        <v>167</v>
      </c>
    </row>
    <row r="103" spans="1:11" s="17" customFormat="1" x14ac:dyDescent="0.3">
      <c r="A103" s="11" t="s">
        <v>96</v>
      </c>
      <c r="B103" s="3">
        <v>240</v>
      </c>
      <c r="C103" s="3">
        <v>271</v>
      </c>
      <c r="D103" s="3">
        <v>300</v>
      </c>
      <c r="E103" s="3">
        <v>320</v>
      </c>
      <c r="F103" s="3">
        <v>347</v>
      </c>
      <c r="G103" s="3">
        <v>385</v>
      </c>
      <c r="H103" s="3">
        <v>438</v>
      </c>
      <c r="I103" s="3">
        <v>480</v>
      </c>
      <c r="K103" s="17">
        <v>209</v>
      </c>
    </row>
    <row r="105" spans="1:11" x14ac:dyDescent="0.3">
      <c r="A105" s="14" t="s">
        <v>99</v>
      </c>
      <c r="B105" s="14"/>
      <c r="C105" s="14"/>
      <c r="D105" s="14"/>
      <c r="E105" s="14"/>
      <c r="F105" s="14"/>
      <c r="G105" s="14"/>
      <c r="H105" s="14"/>
      <c r="I105" s="14"/>
    </row>
    <row r="106" spans="1:11" x14ac:dyDescent="0.3">
      <c r="A106" s="29" t="s">
        <v>109</v>
      </c>
      <c r="B106" s="3"/>
      <c r="C106" s="3"/>
      <c r="D106" s="3"/>
      <c r="E106" s="3"/>
      <c r="F106" s="3"/>
      <c r="G106" s="3"/>
      <c r="H106" s="3"/>
      <c r="I106" s="3"/>
    </row>
    <row r="107" spans="1:11" x14ac:dyDescent="0.3">
      <c r="A107" s="2" t="s">
        <v>100</v>
      </c>
      <c r="B107" s="55">
        <f t="shared" ref="B107:H107" si="32">+SUM(B108:B110)</f>
        <v>13740</v>
      </c>
      <c r="C107" s="55">
        <f t="shared" si="32"/>
        <v>14764</v>
      </c>
      <c r="D107" s="55">
        <f t="shared" si="32"/>
        <v>15216</v>
      </c>
      <c r="E107" s="55">
        <f t="shared" si="32"/>
        <v>14855</v>
      </c>
      <c r="F107" s="55">
        <f t="shared" si="32"/>
        <v>15902</v>
      </c>
      <c r="G107" s="55">
        <f t="shared" si="32"/>
        <v>14484</v>
      </c>
      <c r="H107" s="55">
        <f t="shared" si="32"/>
        <v>17179</v>
      </c>
      <c r="I107" s="55">
        <f>+SUM(I108:I110)</f>
        <v>18353</v>
      </c>
      <c r="K107" s="71">
        <f t="shared" ref="K107" si="33">+SUM(K108:K110)</f>
        <v>12299</v>
      </c>
    </row>
    <row r="108" spans="1:11" x14ac:dyDescent="0.3">
      <c r="A108" s="11" t="s">
        <v>113</v>
      </c>
      <c r="B108">
        <v>8506</v>
      </c>
      <c r="C108">
        <v>9299</v>
      </c>
      <c r="D108">
        <v>9684</v>
      </c>
      <c r="E108">
        <v>9322</v>
      </c>
      <c r="F108">
        <v>10045</v>
      </c>
      <c r="G108">
        <v>9329</v>
      </c>
      <c r="H108" s="8">
        <v>11644</v>
      </c>
      <c r="I108" s="8">
        <v>12228</v>
      </c>
      <c r="K108" s="8">
        <v>7495</v>
      </c>
    </row>
    <row r="109" spans="1:11" x14ac:dyDescent="0.3">
      <c r="A109" s="11" t="s">
        <v>114</v>
      </c>
      <c r="B109">
        <v>4410</v>
      </c>
      <c r="C109">
        <v>4746</v>
      </c>
      <c r="D109">
        <v>4886</v>
      </c>
      <c r="E109">
        <v>4938</v>
      </c>
      <c r="F109">
        <v>5260</v>
      </c>
      <c r="G109">
        <v>4639</v>
      </c>
      <c r="H109" s="8">
        <v>5028</v>
      </c>
      <c r="I109" s="8">
        <v>5492</v>
      </c>
      <c r="K109" s="8">
        <v>3937</v>
      </c>
    </row>
    <row r="110" spans="1:11" x14ac:dyDescent="0.3">
      <c r="A110" s="11" t="s">
        <v>115</v>
      </c>
      <c r="B110">
        <v>824</v>
      </c>
      <c r="C110">
        <v>719</v>
      </c>
      <c r="D110">
        <v>646</v>
      </c>
      <c r="E110">
        <v>595</v>
      </c>
      <c r="F110">
        <v>597</v>
      </c>
      <c r="G110">
        <v>516</v>
      </c>
      <c r="H110">
        <v>507</v>
      </c>
      <c r="I110">
        <v>633</v>
      </c>
      <c r="K110" s="65">
        <v>867</v>
      </c>
    </row>
    <row r="111" spans="1:11" x14ac:dyDescent="0.3">
      <c r="A111" s="2" t="s">
        <v>101</v>
      </c>
      <c r="B111" s="3">
        <f t="shared" ref="B111" si="34">+SUM(B112:B114)</f>
        <v>7126</v>
      </c>
      <c r="C111" s="3">
        <f t="shared" ref="C111" si="35">+SUM(C112:C114)</f>
        <v>7568</v>
      </c>
      <c r="D111" s="3">
        <f t="shared" ref="D111" si="36">+SUM(D112:D114)</f>
        <v>7970</v>
      </c>
      <c r="E111" s="3">
        <f t="shared" ref="E111" si="37">+SUM(E112:E114)</f>
        <v>9242</v>
      </c>
      <c r="F111" s="3">
        <f t="shared" ref="F111" si="38">+SUM(F112:F114)</f>
        <v>9812</v>
      </c>
      <c r="G111" s="3">
        <f t="shared" ref="G111" si="39">+SUM(G112:G114)</f>
        <v>9347</v>
      </c>
      <c r="H111" s="3">
        <f t="shared" ref="H111" si="40">+SUM(H112:H114)</f>
        <v>11456</v>
      </c>
      <c r="I111" s="3">
        <f>+SUM(I112:I114)</f>
        <v>12479</v>
      </c>
      <c r="K111" s="71">
        <f t="shared" ref="K111" si="41">+SUM(K112:K114)</f>
        <v>6366</v>
      </c>
    </row>
    <row r="112" spans="1:11" x14ac:dyDescent="0.3">
      <c r="A112" s="11" t="s">
        <v>113</v>
      </c>
      <c r="B112">
        <v>4703</v>
      </c>
      <c r="C112">
        <v>5043</v>
      </c>
      <c r="D112">
        <v>5192</v>
      </c>
      <c r="E112">
        <v>5875</v>
      </c>
      <c r="F112">
        <v>6293</v>
      </c>
      <c r="G112">
        <v>5892</v>
      </c>
      <c r="H112" s="8">
        <v>6970</v>
      </c>
      <c r="I112" s="8">
        <v>7388</v>
      </c>
      <c r="K112" s="8">
        <v>4062</v>
      </c>
    </row>
    <row r="113" spans="1:11" x14ac:dyDescent="0.3">
      <c r="A113" s="11" t="s">
        <v>114</v>
      </c>
      <c r="B113">
        <v>2050</v>
      </c>
      <c r="C113">
        <v>2149</v>
      </c>
      <c r="D113">
        <v>2395</v>
      </c>
      <c r="E113">
        <v>2940</v>
      </c>
      <c r="F113">
        <v>3087</v>
      </c>
      <c r="G113">
        <v>3053</v>
      </c>
      <c r="H113" s="8">
        <v>3996</v>
      </c>
      <c r="I113" s="8">
        <v>4527</v>
      </c>
      <c r="K113" s="8">
        <v>1959</v>
      </c>
    </row>
    <row r="114" spans="1:11" x14ac:dyDescent="0.3">
      <c r="A114" s="11" t="s">
        <v>115</v>
      </c>
      <c r="B114">
        <v>373</v>
      </c>
      <c r="C114">
        <v>376</v>
      </c>
      <c r="D114">
        <v>383</v>
      </c>
      <c r="E114">
        <v>427</v>
      </c>
      <c r="F114">
        <v>432</v>
      </c>
      <c r="G114">
        <v>402</v>
      </c>
      <c r="H114">
        <v>490</v>
      </c>
      <c r="I114">
        <v>564</v>
      </c>
      <c r="K114" s="65">
        <v>345</v>
      </c>
    </row>
    <row r="115" spans="1:11" x14ac:dyDescent="0.3">
      <c r="A115" s="2" t="s">
        <v>102</v>
      </c>
      <c r="B115" s="3">
        <f t="shared" ref="B115" si="42">+SUM(B116:B118)</f>
        <v>3067</v>
      </c>
      <c r="C115" s="3">
        <f t="shared" ref="C115" si="43">+SUM(C116:C118)</f>
        <v>3785</v>
      </c>
      <c r="D115" s="3">
        <f t="shared" ref="D115" si="44">+SUM(D116:D118)</f>
        <v>4237</v>
      </c>
      <c r="E115" s="3">
        <f t="shared" ref="E115" si="45">+SUM(E116:E118)</f>
        <v>5134</v>
      </c>
      <c r="F115" s="3">
        <f t="shared" ref="F115" si="46">+SUM(F116:F118)</f>
        <v>6208</v>
      </c>
      <c r="G115" s="3">
        <f t="shared" ref="G115" si="47">+SUM(G116:G118)</f>
        <v>6679</v>
      </c>
      <c r="H115" s="3">
        <f t="shared" ref="H115" si="48">+SUM(H116:H118)</f>
        <v>8290</v>
      </c>
      <c r="I115" s="3">
        <f>+SUM(I116:I118)</f>
        <v>7547</v>
      </c>
      <c r="K115" s="71">
        <f t="shared" ref="K115" si="49">+SUM(K116:K118)</f>
        <v>2602</v>
      </c>
    </row>
    <row r="116" spans="1:11" x14ac:dyDescent="0.3">
      <c r="A116" s="11" t="s">
        <v>113</v>
      </c>
      <c r="B116">
        <v>2016</v>
      </c>
      <c r="C116">
        <v>2599</v>
      </c>
      <c r="D116">
        <v>2920</v>
      </c>
      <c r="E116">
        <v>3496</v>
      </c>
      <c r="F116">
        <v>4262</v>
      </c>
      <c r="G116">
        <v>4635</v>
      </c>
      <c r="H116" s="8">
        <v>5748</v>
      </c>
      <c r="I116" s="8">
        <v>5416</v>
      </c>
      <c r="K116" s="8">
        <v>1600</v>
      </c>
    </row>
    <row r="117" spans="1:11" x14ac:dyDescent="0.3">
      <c r="A117" s="11" t="s">
        <v>114</v>
      </c>
      <c r="B117">
        <v>925</v>
      </c>
      <c r="C117">
        <v>1055</v>
      </c>
      <c r="D117">
        <v>1188</v>
      </c>
      <c r="E117">
        <v>1508</v>
      </c>
      <c r="F117">
        <v>1808</v>
      </c>
      <c r="G117">
        <v>1896</v>
      </c>
      <c r="H117" s="8">
        <v>2347</v>
      </c>
      <c r="I117" s="8">
        <v>1938</v>
      </c>
      <c r="K117" s="8">
        <v>876</v>
      </c>
    </row>
    <row r="118" spans="1:11" x14ac:dyDescent="0.3">
      <c r="A118" s="11" t="s">
        <v>115</v>
      </c>
      <c r="B118">
        <v>126</v>
      </c>
      <c r="C118">
        <v>131</v>
      </c>
      <c r="D118">
        <v>129</v>
      </c>
      <c r="E118">
        <v>130</v>
      </c>
      <c r="F118">
        <v>138</v>
      </c>
      <c r="G118">
        <v>148</v>
      </c>
      <c r="H118">
        <v>195</v>
      </c>
      <c r="I118">
        <v>193</v>
      </c>
      <c r="K118" s="65">
        <v>126</v>
      </c>
    </row>
    <row r="119" spans="1:11" x14ac:dyDescent="0.3">
      <c r="A119" s="2" t="s">
        <v>106</v>
      </c>
      <c r="B119" s="3">
        <f t="shared" ref="B119" si="50">+SUM(B120:B122)</f>
        <v>4653</v>
      </c>
      <c r="C119" s="3">
        <f t="shared" ref="C119" si="51">+SUM(C120:C122)</f>
        <v>4317</v>
      </c>
      <c r="D119" s="3">
        <f t="shared" ref="D119" si="52">+SUM(D120:D122)</f>
        <v>4737</v>
      </c>
      <c r="E119" s="3">
        <f t="shared" ref="E119" si="53">+SUM(E120:E122)</f>
        <v>5166</v>
      </c>
      <c r="F119" s="3">
        <f t="shared" ref="F119" si="54">+SUM(F120:F122)</f>
        <v>5254</v>
      </c>
      <c r="G119" s="3">
        <f t="shared" ref="G119" si="55">+SUM(G120:G122)</f>
        <v>5028</v>
      </c>
      <c r="H119" s="3">
        <f t="shared" ref="H119" si="56">+SUM(H120:H122)</f>
        <v>5343</v>
      </c>
      <c r="I119" s="3">
        <f>+SUM(I120:I122)</f>
        <v>5955</v>
      </c>
      <c r="K119" s="71">
        <f t="shared" ref="K119" si="57">+SUM(K120:K122)</f>
        <v>4720</v>
      </c>
    </row>
    <row r="120" spans="1:11" x14ac:dyDescent="0.3">
      <c r="A120" s="11" t="s">
        <v>113</v>
      </c>
      <c r="B120">
        <v>3093</v>
      </c>
      <c r="C120">
        <v>2930</v>
      </c>
      <c r="D120">
        <v>3285</v>
      </c>
      <c r="E120">
        <v>3575</v>
      </c>
      <c r="F120">
        <v>3622</v>
      </c>
      <c r="G120">
        <v>3449</v>
      </c>
      <c r="H120" s="8">
        <v>3659</v>
      </c>
      <c r="I120" s="8">
        <v>4111</v>
      </c>
      <c r="K120" s="8">
        <v>3051</v>
      </c>
    </row>
    <row r="121" spans="1:11" x14ac:dyDescent="0.3">
      <c r="A121" s="11" t="s">
        <v>114</v>
      </c>
      <c r="B121">
        <v>1251</v>
      </c>
      <c r="C121">
        <v>1117</v>
      </c>
      <c r="D121">
        <v>1185</v>
      </c>
      <c r="E121">
        <v>1347</v>
      </c>
      <c r="F121">
        <v>1395</v>
      </c>
      <c r="G121">
        <v>1365</v>
      </c>
      <c r="H121" s="8">
        <v>1494</v>
      </c>
      <c r="I121" s="8">
        <v>1610</v>
      </c>
      <c r="K121" s="8">
        <v>1337</v>
      </c>
    </row>
    <row r="122" spans="1:11" x14ac:dyDescent="0.3">
      <c r="A122" s="11" t="s">
        <v>115</v>
      </c>
      <c r="B122">
        <v>309</v>
      </c>
      <c r="C122">
        <v>270</v>
      </c>
      <c r="D122">
        <v>267</v>
      </c>
      <c r="E122">
        <v>244</v>
      </c>
      <c r="F122">
        <v>237</v>
      </c>
      <c r="G122">
        <v>214</v>
      </c>
      <c r="H122">
        <v>190</v>
      </c>
      <c r="I122">
        <v>234</v>
      </c>
      <c r="K122" s="65">
        <v>332</v>
      </c>
    </row>
    <row r="123" spans="1:11" x14ac:dyDescent="0.3">
      <c r="A123" s="2" t="s">
        <v>107</v>
      </c>
      <c r="B123" s="3">
        <v>115</v>
      </c>
      <c r="C123" s="3">
        <v>73</v>
      </c>
      <c r="D123" s="3">
        <v>73</v>
      </c>
      <c r="E123" s="3">
        <v>88</v>
      </c>
      <c r="F123" s="3">
        <v>42</v>
      </c>
      <c r="G123" s="3">
        <v>30</v>
      </c>
      <c r="H123" s="3">
        <v>25</v>
      </c>
      <c r="I123" s="3">
        <v>102</v>
      </c>
      <c r="K123" s="87">
        <v>125</v>
      </c>
    </row>
    <row r="124" spans="1:11" x14ac:dyDescent="0.3">
      <c r="A124" s="4" t="s">
        <v>103</v>
      </c>
      <c r="B124" s="5">
        <f t="shared" ref="B124:I124" si="58">+B107+B111+B115+B119+B123</f>
        <v>28701</v>
      </c>
      <c r="C124" s="5">
        <f t="shared" si="58"/>
        <v>30507</v>
      </c>
      <c r="D124" s="5">
        <f t="shared" si="58"/>
        <v>32233</v>
      </c>
      <c r="E124" s="5">
        <f t="shared" si="58"/>
        <v>34485</v>
      </c>
      <c r="F124" s="5">
        <f t="shared" si="58"/>
        <v>37218</v>
      </c>
      <c r="G124" s="5">
        <f t="shared" si="58"/>
        <v>35568</v>
      </c>
      <c r="H124" s="5">
        <f t="shared" si="58"/>
        <v>42293</v>
      </c>
      <c r="I124" s="5">
        <f t="shared" si="58"/>
        <v>44436</v>
      </c>
      <c r="K124" s="100">
        <f t="shared" ref="K124" si="59">+K107+K111+K115+K119+K123</f>
        <v>26112</v>
      </c>
    </row>
    <row r="125" spans="1:11" x14ac:dyDescent="0.3">
      <c r="A125" s="2" t="s">
        <v>104</v>
      </c>
      <c r="B125" s="3">
        <f t="shared" ref="B125:H125" si="60">+SUM(B126:B129)</f>
        <v>1982</v>
      </c>
      <c r="C125" s="3">
        <f t="shared" si="60"/>
        <v>1955</v>
      </c>
      <c r="D125" s="3">
        <f t="shared" si="60"/>
        <v>2042</v>
      </c>
      <c r="E125" s="3">
        <f t="shared" si="60"/>
        <v>1886</v>
      </c>
      <c r="F125" s="3">
        <f t="shared" si="60"/>
        <v>1906</v>
      </c>
      <c r="G125" s="3">
        <f t="shared" si="60"/>
        <v>1846</v>
      </c>
      <c r="H125" s="3">
        <f t="shared" si="60"/>
        <v>2205</v>
      </c>
      <c r="I125" s="3">
        <f>+SUM(I126:I129)</f>
        <v>2346</v>
      </c>
      <c r="K125" s="87">
        <f t="shared" ref="K125" si="61">+SUM(K126:K129)</f>
        <v>1684</v>
      </c>
    </row>
    <row r="126" spans="1:11" x14ac:dyDescent="0.3">
      <c r="A126" s="11" t="s">
        <v>113</v>
      </c>
      <c r="B126" s="3" t="s">
        <v>209</v>
      </c>
      <c r="C126" s="3" t="s">
        <v>209</v>
      </c>
      <c r="D126" s="3" t="s">
        <v>209</v>
      </c>
      <c r="E126" s="3">
        <v>1611</v>
      </c>
      <c r="F126" s="3">
        <v>1658</v>
      </c>
      <c r="G126" s="3">
        <v>1642</v>
      </c>
      <c r="H126" s="3">
        <v>1986</v>
      </c>
      <c r="I126" s="3">
        <v>2094</v>
      </c>
      <c r="K126" s="87">
        <v>0</v>
      </c>
    </row>
    <row r="127" spans="1:11" x14ac:dyDescent="0.3">
      <c r="A127" s="11" t="s">
        <v>114</v>
      </c>
      <c r="B127" s="3" t="s">
        <v>209</v>
      </c>
      <c r="C127" s="3" t="s">
        <v>209</v>
      </c>
      <c r="D127" s="3" t="s">
        <v>209</v>
      </c>
      <c r="E127" s="3">
        <v>144</v>
      </c>
      <c r="F127" s="3">
        <v>118</v>
      </c>
      <c r="G127" s="3">
        <v>89</v>
      </c>
      <c r="H127" s="3">
        <v>104</v>
      </c>
      <c r="I127" s="3">
        <v>103</v>
      </c>
      <c r="K127" s="87">
        <v>0</v>
      </c>
    </row>
    <row r="128" spans="1:11" x14ac:dyDescent="0.3">
      <c r="A128" s="11" t="s">
        <v>115</v>
      </c>
      <c r="B128" s="3" t="s">
        <v>209</v>
      </c>
      <c r="C128" s="3" t="s">
        <v>209</v>
      </c>
      <c r="D128" s="3" t="s">
        <v>209</v>
      </c>
      <c r="E128" s="3">
        <v>28</v>
      </c>
      <c r="F128" s="3">
        <v>24</v>
      </c>
      <c r="G128" s="3">
        <v>25</v>
      </c>
      <c r="H128" s="3">
        <v>29</v>
      </c>
      <c r="I128" s="3">
        <v>26</v>
      </c>
      <c r="K128" s="87">
        <v>0</v>
      </c>
    </row>
    <row r="129" spans="1:11" x14ac:dyDescent="0.3">
      <c r="A129" s="11" t="s">
        <v>121</v>
      </c>
      <c r="B129" s="3">
        <v>1982</v>
      </c>
      <c r="C129" s="3">
        <v>1955</v>
      </c>
      <c r="D129" s="3">
        <v>2042</v>
      </c>
      <c r="E129" s="3">
        <v>103</v>
      </c>
      <c r="F129" s="3">
        <v>106</v>
      </c>
      <c r="G129" s="3">
        <v>90</v>
      </c>
      <c r="H129" s="3">
        <v>86</v>
      </c>
      <c r="I129" s="3">
        <v>123</v>
      </c>
      <c r="K129" s="87">
        <v>1684</v>
      </c>
    </row>
    <row r="130" spans="1:11" x14ac:dyDescent="0.3">
      <c r="A130" s="2" t="s">
        <v>108</v>
      </c>
      <c r="B130" s="3">
        <v>-82</v>
      </c>
      <c r="C130" s="3">
        <v>-86</v>
      </c>
      <c r="D130" s="3">
        <v>75</v>
      </c>
      <c r="E130" s="3">
        <v>26</v>
      </c>
      <c r="F130" s="3">
        <v>-7</v>
      </c>
      <c r="G130" s="3">
        <v>-11</v>
      </c>
      <c r="H130" s="3">
        <v>40</v>
      </c>
      <c r="I130" s="3">
        <v>-72</v>
      </c>
      <c r="K130" s="87">
        <v>3</v>
      </c>
    </row>
    <row r="131" spans="1:11" ht="15" thickBot="1" x14ac:dyDescent="0.35">
      <c r="A131" s="6" t="s">
        <v>105</v>
      </c>
      <c r="B131" s="7">
        <f t="shared" ref="B131:H131" si="62">+B124+B125+B130</f>
        <v>30601</v>
      </c>
      <c r="C131" s="7">
        <f t="shared" si="62"/>
        <v>32376</v>
      </c>
      <c r="D131" s="7">
        <f t="shared" si="62"/>
        <v>34350</v>
      </c>
      <c r="E131" s="7">
        <f t="shared" si="62"/>
        <v>36397</v>
      </c>
      <c r="F131" s="7">
        <f t="shared" si="62"/>
        <v>39117</v>
      </c>
      <c r="G131" s="7">
        <f t="shared" si="62"/>
        <v>37403</v>
      </c>
      <c r="H131" s="7">
        <f t="shared" si="62"/>
        <v>44538</v>
      </c>
      <c r="I131" s="7">
        <f>+I124+I125+I130</f>
        <v>46710</v>
      </c>
      <c r="K131" s="101">
        <f t="shared" ref="K131" si="63">+K124+K125+K130</f>
        <v>27799</v>
      </c>
    </row>
    <row r="132" spans="1:11" s="12" customFormat="1" ht="15" thickTop="1" x14ac:dyDescent="0.3">
      <c r="A132" s="12" t="s">
        <v>111</v>
      </c>
      <c r="B132" s="13">
        <f>+I131-I2</f>
        <v>0</v>
      </c>
      <c r="C132" s="13">
        <f t="shared" ref="C132:G132" si="64">+C131-C2</f>
        <v>0</v>
      </c>
      <c r="D132" s="13">
        <f t="shared" si="64"/>
        <v>0</v>
      </c>
      <c r="E132" s="13">
        <f t="shared" si="64"/>
        <v>0</v>
      </c>
      <c r="F132" s="13">
        <f t="shared" si="64"/>
        <v>0</v>
      </c>
      <c r="G132" s="13">
        <f t="shared" si="64"/>
        <v>0</v>
      </c>
      <c r="H132" s="13">
        <f>+H131-H2</f>
        <v>0</v>
      </c>
      <c r="K132" s="102"/>
    </row>
    <row r="133" spans="1:11" x14ac:dyDescent="0.3">
      <c r="A133" s="1" t="s">
        <v>110</v>
      </c>
      <c r="K133" s="102"/>
    </row>
    <row r="134" spans="1:11" x14ac:dyDescent="0.3">
      <c r="A134" s="2" t="s">
        <v>100</v>
      </c>
      <c r="B134" s="3">
        <v>3645</v>
      </c>
      <c r="C134" s="3">
        <v>3763</v>
      </c>
      <c r="D134" s="3">
        <v>3875</v>
      </c>
      <c r="E134" s="3">
        <v>3600</v>
      </c>
      <c r="F134" s="3">
        <v>3925</v>
      </c>
      <c r="G134" s="3">
        <v>2899</v>
      </c>
      <c r="H134" s="3">
        <v>5089</v>
      </c>
      <c r="I134" s="3">
        <v>5114</v>
      </c>
      <c r="K134" s="87">
        <v>3075</v>
      </c>
    </row>
    <row r="135" spans="1:11" x14ac:dyDescent="0.3">
      <c r="A135" s="2" t="s">
        <v>101</v>
      </c>
      <c r="B135" s="3">
        <v>1524</v>
      </c>
      <c r="C135" s="3">
        <v>1787</v>
      </c>
      <c r="D135" s="3">
        <v>1507</v>
      </c>
      <c r="E135" s="3">
        <v>1587</v>
      </c>
      <c r="F135" s="3">
        <v>1995</v>
      </c>
      <c r="G135" s="3">
        <v>1541</v>
      </c>
      <c r="H135" s="3">
        <v>2435</v>
      </c>
      <c r="I135" s="3">
        <v>3293</v>
      </c>
      <c r="K135" s="87">
        <v>1134</v>
      </c>
    </row>
    <row r="136" spans="1:11" x14ac:dyDescent="0.3">
      <c r="A136" s="2" t="s">
        <v>102</v>
      </c>
      <c r="B136" s="3">
        <v>993</v>
      </c>
      <c r="C136" s="3">
        <v>1372</v>
      </c>
      <c r="D136" s="3">
        <v>1507</v>
      </c>
      <c r="E136" s="3">
        <v>1807</v>
      </c>
      <c r="F136" s="3">
        <v>2376</v>
      </c>
      <c r="G136" s="3">
        <v>2490</v>
      </c>
      <c r="H136" s="3">
        <v>3243</v>
      </c>
      <c r="I136" s="3">
        <v>2365</v>
      </c>
      <c r="K136" s="87">
        <v>816</v>
      </c>
    </row>
    <row r="137" spans="1:11" x14ac:dyDescent="0.3">
      <c r="A137" s="2" t="s">
        <v>106</v>
      </c>
      <c r="B137" s="3">
        <v>918</v>
      </c>
      <c r="C137" s="3">
        <v>1002</v>
      </c>
      <c r="D137" s="3">
        <v>980</v>
      </c>
      <c r="E137" s="3">
        <v>1189</v>
      </c>
      <c r="F137" s="3">
        <v>1323</v>
      </c>
      <c r="G137" s="3">
        <v>1184</v>
      </c>
      <c r="H137" s="3">
        <v>1530</v>
      </c>
      <c r="I137" s="3">
        <v>1896</v>
      </c>
      <c r="K137" s="87">
        <v>1086</v>
      </c>
    </row>
    <row r="138" spans="1:11" x14ac:dyDescent="0.3">
      <c r="A138" s="2" t="s">
        <v>107</v>
      </c>
      <c r="B138" s="3">
        <v>-2263</v>
      </c>
      <c r="C138" s="3">
        <v>-2596</v>
      </c>
      <c r="D138" s="3">
        <v>-2677</v>
      </c>
      <c r="E138" s="3">
        <v>-2658</v>
      </c>
      <c r="F138" s="3">
        <v>-3262</v>
      </c>
      <c r="G138" s="3">
        <v>-3468</v>
      </c>
      <c r="H138" s="3">
        <v>-3656</v>
      </c>
      <c r="I138" s="3">
        <v>-4262</v>
      </c>
      <c r="K138" s="87">
        <v>-2021</v>
      </c>
    </row>
    <row r="139" spans="1:11" x14ac:dyDescent="0.3">
      <c r="A139" s="4" t="s">
        <v>103</v>
      </c>
      <c r="B139" s="5">
        <f t="shared" ref="B139:I139" si="65">+SUM(B134:B138)</f>
        <v>4817</v>
      </c>
      <c r="C139" s="5">
        <f t="shared" si="65"/>
        <v>5328</v>
      </c>
      <c r="D139" s="5">
        <f t="shared" si="65"/>
        <v>5192</v>
      </c>
      <c r="E139" s="5">
        <f t="shared" si="65"/>
        <v>5525</v>
      </c>
      <c r="F139" s="5">
        <f t="shared" si="65"/>
        <v>6357</v>
      </c>
      <c r="G139" s="5">
        <f t="shared" si="65"/>
        <v>4646</v>
      </c>
      <c r="H139" s="5">
        <f t="shared" si="65"/>
        <v>8641</v>
      </c>
      <c r="I139" s="5">
        <f t="shared" si="65"/>
        <v>8406</v>
      </c>
      <c r="K139" s="100">
        <f t="shared" ref="K139" si="66">+SUM(K134:K138)</f>
        <v>4090</v>
      </c>
    </row>
    <row r="140" spans="1:11" x14ac:dyDescent="0.3">
      <c r="A140" s="2" t="s">
        <v>104</v>
      </c>
      <c r="B140" s="3">
        <v>517</v>
      </c>
      <c r="C140" s="3">
        <v>487</v>
      </c>
      <c r="D140" s="3">
        <v>477</v>
      </c>
      <c r="E140" s="3">
        <v>310</v>
      </c>
      <c r="F140" s="3">
        <v>303</v>
      </c>
      <c r="G140" s="3">
        <v>297</v>
      </c>
      <c r="H140" s="3">
        <v>543</v>
      </c>
      <c r="I140" s="3">
        <v>669</v>
      </c>
      <c r="K140" s="87">
        <v>496</v>
      </c>
    </row>
    <row r="141" spans="1:11" x14ac:dyDescent="0.3">
      <c r="A141" s="2" t="s">
        <v>108</v>
      </c>
      <c r="B141" s="3">
        <v>-1101</v>
      </c>
      <c r="C141" s="3">
        <v>-1173</v>
      </c>
      <c r="D141" s="3">
        <v>-724</v>
      </c>
      <c r="E141" s="3">
        <v>-1456</v>
      </c>
      <c r="F141" s="3">
        <v>-1810</v>
      </c>
      <c r="G141" s="3">
        <v>-1967</v>
      </c>
      <c r="H141" s="3">
        <v>-2261</v>
      </c>
      <c r="I141" s="3">
        <v>-2219</v>
      </c>
      <c r="K141" s="87">
        <v>-1009</v>
      </c>
    </row>
    <row r="142" spans="1:11" ht="15" thickBot="1" x14ac:dyDescent="0.35">
      <c r="A142" s="6" t="s">
        <v>112</v>
      </c>
      <c r="B142" s="7">
        <f t="shared" ref="B142" si="67">+SUM(B139:B141)</f>
        <v>4233</v>
      </c>
      <c r="C142" s="7">
        <f t="shared" ref="C142" si="68">+SUM(C139:C141)</f>
        <v>4642</v>
      </c>
      <c r="D142" s="7">
        <f t="shared" ref="D142" si="69">+SUM(D139:D141)</f>
        <v>4945</v>
      </c>
      <c r="E142" s="7">
        <f t="shared" ref="E142" si="70">+SUM(E139:E141)</f>
        <v>4379</v>
      </c>
      <c r="F142" s="7">
        <f t="shared" ref="F142" si="71">+SUM(F139:F141)</f>
        <v>4850</v>
      </c>
      <c r="G142" s="7">
        <f t="shared" ref="G142" si="72">+SUM(G139:G141)</f>
        <v>2976</v>
      </c>
      <c r="H142" s="7">
        <f t="shared" ref="H142" si="73">+SUM(H139:H141)</f>
        <v>6923</v>
      </c>
      <c r="I142" s="7">
        <f>+SUM(I139:I141)</f>
        <v>6856</v>
      </c>
      <c r="K142" s="101">
        <f t="shared" ref="K142" si="74">+SUM(K139:K141)</f>
        <v>3577</v>
      </c>
    </row>
    <row r="143" spans="1:11" s="12" customFormat="1" ht="15" thickTop="1" x14ac:dyDescent="0.3">
      <c r="A143" s="12" t="s">
        <v>111</v>
      </c>
      <c r="B143" s="13">
        <f t="shared" ref="B143:H143" si="75">+B142-B10-B8</f>
        <v>0</v>
      </c>
      <c r="C143" s="13">
        <f t="shared" si="75"/>
        <v>0</v>
      </c>
      <c r="D143" s="13">
        <f t="shared" si="75"/>
        <v>0</v>
      </c>
      <c r="E143" s="13">
        <f t="shared" si="75"/>
        <v>0</v>
      </c>
      <c r="F143" s="13">
        <f t="shared" si="75"/>
        <v>0</v>
      </c>
      <c r="G143" s="13">
        <f t="shared" si="75"/>
        <v>0</v>
      </c>
      <c r="H143" s="13">
        <f t="shared" si="75"/>
        <v>0</v>
      </c>
      <c r="I143" s="13">
        <f>+I142-I10-I8</f>
        <v>0</v>
      </c>
      <c r="J143" s="13"/>
      <c r="K143" s="13">
        <f t="shared" ref="K143" si="76">+K142-K10-K8</f>
        <v>0</v>
      </c>
    </row>
    <row r="144" spans="1:11" x14ac:dyDescent="0.3">
      <c r="A144" s="1" t="s">
        <v>117</v>
      </c>
      <c r="K144" s="102"/>
    </row>
    <row r="145" spans="1:11" x14ac:dyDescent="0.3">
      <c r="A145" s="2" t="s">
        <v>100</v>
      </c>
      <c r="B145" s="3">
        <v>632</v>
      </c>
      <c r="C145" s="3">
        <v>742</v>
      </c>
      <c r="D145" s="3">
        <v>819</v>
      </c>
      <c r="E145" s="3">
        <v>848</v>
      </c>
      <c r="F145" s="3">
        <v>814</v>
      </c>
      <c r="G145" s="3">
        <v>645</v>
      </c>
      <c r="H145" s="3">
        <v>617</v>
      </c>
      <c r="I145" s="3">
        <v>639</v>
      </c>
      <c r="K145" s="87">
        <v>545</v>
      </c>
    </row>
    <row r="146" spans="1:11" x14ac:dyDescent="0.3">
      <c r="A146" s="2" t="s">
        <v>101</v>
      </c>
      <c r="B146" s="3">
        <v>498</v>
      </c>
      <c r="C146" s="3">
        <v>639</v>
      </c>
      <c r="D146" s="3">
        <v>709</v>
      </c>
      <c r="E146" s="3">
        <v>849</v>
      </c>
      <c r="F146" s="3">
        <v>929</v>
      </c>
      <c r="G146" s="3">
        <v>885</v>
      </c>
      <c r="H146" s="3">
        <v>982</v>
      </c>
      <c r="I146" s="3">
        <v>920</v>
      </c>
      <c r="K146" s="87">
        <v>435</v>
      </c>
    </row>
    <row r="147" spans="1:11" x14ac:dyDescent="0.3">
      <c r="A147" s="2" t="s">
        <v>102</v>
      </c>
      <c r="B147" s="3">
        <v>254</v>
      </c>
      <c r="C147" s="3">
        <v>234</v>
      </c>
      <c r="D147" s="3">
        <v>225</v>
      </c>
      <c r="E147" s="3">
        <v>256</v>
      </c>
      <c r="F147" s="3">
        <v>237</v>
      </c>
      <c r="G147" s="3">
        <v>214</v>
      </c>
      <c r="H147" s="3">
        <v>288</v>
      </c>
      <c r="I147" s="3">
        <v>303</v>
      </c>
      <c r="K147" s="87">
        <v>232</v>
      </c>
    </row>
    <row r="148" spans="1:11" x14ac:dyDescent="0.3">
      <c r="A148" s="2" t="s">
        <v>118</v>
      </c>
      <c r="B148" s="3">
        <v>308</v>
      </c>
      <c r="C148" s="3">
        <v>332</v>
      </c>
      <c r="D148" s="3">
        <v>340</v>
      </c>
      <c r="E148" s="3">
        <v>339</v>
      </c>
      <c r="F148" s="3">
        <v>326</v>
      </c>
      <c r="G148" s="3">
        <v>296</v>
      </c>
      <c r="H148" s="3">
        <v>304</v>
      </c>
      <c r="I148" s="3">
        <v>274</v>
      </c>
      <c r="K148" s="87">
        <v>373</v>
      </c>
    </row>
    <row r="149" spans="1:11" x14ac:dyDescent="0.3">
      <c r="A149" s="2" t="s">
        <v>107</v>
      </c>
      <c r="B149" s="3">
        <v>484</v>
      </c>
      <c r="C149" s="3">
        <v>511</v>
      </c>
      <c r="D149" s="3">
        <v>533</v>
      </c>
      <c r="E149" s="3">
        <v>597</v>
      </c>
      <c r="F149" s="3">
        <v>665</v>
      </c>
      <c r="G149" s="3">
        <v>830</v>
      </c>
      <c r="H149" s="3">
        <v>780</v>
      </c>
      <c r="I149" s="3">
        <v>789</v>
      </c>
      <c r="K149" s="87">
        <v>537</v>
      </c>
    </row>
    <row r="150" spans="1:11" x14ac:dyDescent="0.3">
      <c r="A150" s="4" t="s">
        <v>119</v>
      </c>
      <c r="B150" s="5">
        <f t="shared" ref="B150:I150" si="77">+SUM(B145:B149)</f>
        <v>2176</v>
      </c>
      <c r="C150" s="5">
        <f t="shared" si="77"/>
        <v>2458</v>
      </c>
      <c r="D150" s="5">
        <f t="shared" si="77"/>
        <v>2626</v>
      </c>
      <c r="E150" s="5">
        <f t="shared" si="77"/>
        <v>2889</v>
      </c>
      <c r="F150" s="5">
        <f t="shared" si="77"/>
        <v>2971</v>
      </c>
      <c r="G150" s="5">
        <f t="shared" si="77"/>
        <v>2870</v>
      </c>
      <c r="H150" s="5">
        <f t="shared" si="77"/>
        <v>2971</v>
      </c>
      <c r="I150" s="5">
        <f t="shared" si="77"/>
        <v>2925</v>
      </c>
      <c r="K150" s="100">
        <f t="shared" ref="K150" si="78">+SUM(K145:K149)</f>
        <v>2122</v>
      </c>
    </row>
    <row r="151" spans="1:11" x14ac:dyDescent="0.3">
      <c r="A151" s="2" t="s">
        <v>104</v>
      </c>
      <c r="B151" s="3">
        <v>122</v>
      </c>
      <c r="C151" s="3">
        <v>125</v>
      </c>
      <c r="D151" s="3">
        <v>125</v>
      </c>
      <c r="E151" s="3">
        <v>115</v>
      </c>
      <c r="F151" s="3">
        <v>100</v>
      </c>
      <c r="G151" s="3">
        <v>80</v>
      </c>
      <c r="H151" s="3">
        <v>63</v>
      </c>
      <c r="I151" s="3">
        <v>49</v>
      </c>
      <c r="K151" s="87">
        <v>70</v>
      </c>
    </row>
    <row r="152" spans="1:11" x14ac:dyDescent="0.3">
      <c r="A152" s="2" t="s">
        <v>108</v>
      </c>
      <c r="B152" s="3">
        <v>713</v>
      </c>
      <c r="C152" s="3">
        <v>937</v>
      </c>
      <c r="D152" s="3">
        <v>1238</v>
      </c>
      <c r="E152" s="3">
        <v>1450</v>
      </c>
      <c r="F152" s="3">
        <v>1673</v>
      </c>
      <c r="G152" s="3">
        <v>1916</v>
      </c>
      <c r="H152" s="3">
        <v>1870</v>
      </c>
      <c r="I152" s="3">
        <v>1817</v>
      </c>
      <c r="K152" s="87">
        <v>642</v>
      </c>
    </row>
    <row r="153" spans="1:11" ht="15" thickBot="1" x14ac:dyDescent="0.35">
      <c r="A153" s="6" t="s">
        <v>120</v>
      </c>
      <c r="B153" s="7">
        <f t="shared" ref="B153:H153" si="79">+SUM(B150:B152)</f>
        <v>3011</v>
      </c>
      <c r="C153" s="7">
        <f t="shared" si="79"/>
        <v>3520</v>
      </c>
      <c r="D153" s="7">
        <f t="shared" si="79"/>
        <v>3989</v>
      </c>
      <c r="E153" s="7">
        <f t="shared" si="79"/>
        <v>4454</v>
      </c>
      <c r="F153" s="7">
        <f t="shared" si="79"/>
        <v>4744</v>
      </c>
      <c r="G153" s="7">
        <f t="shared" si="79"/>
        <v>4866</v>
      </c>
      <c r="H153" s="7">
        <f t="shared" si="79"/>
        <v>4904</v>
      </c>
      <c r="I153" s="7">
        <f>+SUM(I150:I152)</f>
        <v>4791</v>
      </c>
      <c r="K153" s="101">
        <f t="shared" ref="K153" si="80">+SUM(K150:K152)</f>
        <v>2834</v>
      </c>
    </row>
    <row r="154" spans="1:11" ht="15" thickTop="1" x14ac:dyDescent="0.3">
      <c r="A154" s="12" t="s">
        <v>111</v>
      </c>
      <c r="B154" s="13">
        <f t="shared" ref="B154:H154" si="81">+B153-B31</f>
        <v>0</v>
      </c>
      <c r="C154" s="13">
        <f t="shared" si="81"/>
        <v>0</v>
      </c>
      <c r="D154" s="13">
        <f t="shared" si="81"/>
        <v>0</v>
      </c>
      <c r="E154" s="13">
        <f t="shared" si="81"/>
        <v>0</v>
      </c>
      <c r="F154" s="13">
        <f t="shared" si="81"/>
        <v>0</v>
      </c>
      <c r="G154" s="13">
        <f t="shared" si="81"/>
        <v>0</v>
      </c>
      <c r="H154" s="13">
        <f t="shared" si="81"/>
        <v>0</v>
      </c>
      <c r="I154" s="13">
        <f>+I153-I31</f>
        <v>0</v>
      </c>
      <c r="J154" s="13"/>
      <c r="K154" s="13">
        <f t="shared" ref="K154" si="82">+K153-K31</f>
        <v>0</v>
      </c>
    </row>
    <row r="155" spans="1:11" x14ac:dyDescent="0.3">
      <c r="A155" s="1" t="s">
        <v>122</v>
      </c>
    </row>
    <row r="156" spans="1:11" x14ac:dyDescent="0.3">
      <c r="A156" s="2" t="s">
        <v>100</v>
      </c>
      <c r="B156" s="3">
        <v>208</v>
      </c>
      <c r="C156" s="3">
        <v>242</v>
      </c>
      <c r="D156" s="3">
        <v>223</v>
      </c>
      <c r="E156" s="3">
        <v>196</v>
      </c>
      <c r="F156" s="3">
        <v>117</v>
      </c>
      <c r="G156" s="3">
        <v>110</v>
      </c>
      <c r="H156" s="3">
        <v>98</v>
      </c>
      <c r="I156" s="3">
        <v>146</v>
      </c>
      <c r="K156" s="87">
        <v>240</v>
      </c>
    </row>
    <row r="157" spans="1:11" x14ac:dyDescent="0.3">
      <c r="A157" s="2" t="s">
        <v>101</v>
      </c>
      <c r="B157" s="3">
        <v>236</v>
      </c>
      <c r="C157" s="3">
        <v>232</v>
      </c>
      <c r="D157" s="3">
        <v>173</v>
      </c>
      <c r="E157" s="3">
        <v>240</v>
      </c>
      <c r="F157" s="3">
        <v>233</v>
      </c>
      <c r="G157" s="3">
        <v>139</v>
      </c>
      <c r="H157" s="3">
        <v>153</v>
      </c>
      <c r="I157" s="3">
        <v>197</v>
      </c>
      <c r="K157" s="87">
        <v>139</v>
      </c>
    </row>
    <row r="158" spans="1:11" x14ac:dyDescent="0.3">
      <c r="A158" s="2" t="s">
        <v>102</v>
      </c>
      <c r="B158" s="3">
        <v>69</v>
      </c>
      <c r="C158" s="3">
        <v>44</v>
      </c>
      <c r="D158" s="3">
        <v>51</v>
      </c>
      <c r="E158" s="3">
        <v>76</v>
      </c>
      <c r="F158" s="3">
        <v>49</v>
      </c>
      <c r="G158" s="3">
        <v>28</v>
      </c>
      <c r="H158" s="3">
        <v>94</v>
      </c>
      <c r="I158" s="3">
        <v>78</v>
      </c>
      <c r="K158" s="87">
        <v>63</v>
      </c>
    </row>
    <row r="159" spans="1:11" x14ac:dyDescent="0.3">
      <c r="A159" s="2" t="s">
        <v>118</v>
      </c>
      <c r="B159" s="3">
        <v>52</v>
      </c>
      <c r="C159" s="3">
        <v>64</v>
      </c>
      <c r="D159" s="3">
        <v>59</v>
      </c>
      <c r="E159" s="3">
        <v>49</v>
      </c>
      <c r="F159" s="3">
        <v>47</v>
      </c>
      <c r="G159" s="3">
        <v>41</v>
      </c>
      <c r="H159" s="3">
        <v>54</v>
      </c>
      <c r="I159" s="3">
        <v>56</v>
      </c>
      <c r="K159" s="87">
        <v>64</v>
      </c>
    </row>
    <row r="160" spans="1:11" x14ac:dyDescent="0.3">
      <c r="A160" s="2" t="s">
        <v>107</v>
      </c>
      <c r="B160" s="3">
        <v>225</v>
      </c>
      <c r="C160" s="3">
        <v>258</v>
      </c>
      <c r="D160" s="3">
        <v>278</v>
      </c>
      <c r="E160" s="3">
        <v>286</v>
      </c>
      <c r="F160" s="3">
        <v>278</v>
      </c>
      <c r="G160" s="3">
        <v>438</v>
      </c>
      <c r="H160" s="3">
        <v>278</v>
      </c>
      <c r="I160" s="3">
        <v>222</v>
      </c>
      <c r="K160" s="87">
        <v>225</v>
      </c>
    </row>
    <row r="161" spans="1:11" x14ac:dyDescent="0.3">
      <c r="A161" s="4" t="s">
        <v>119</v>
      </c>
      <c r="B161" s="5">
        <f t="shared" ref="B161:I161" si="83">+SUM(B156:B160)</f>
        <v>790</v>
      </c>
      <c r="C161" s="5">
        <f t="shared" si="83"/>
        <v>840</v>
      </c>
      <c r="D161" s="5">
        <f t="shared" si="83"/>
        <v>784</v>
      </c>
      <c r="E161" s="5">
        <f t="shared" si="83"/>
        <v>847</v>
      </c>
      <c r="F161" s="5">
        <f t="shared" si="83"/>
        <v>724</v>
      </c>
      <c r="G161" s="5">
        <f t="shared" si="83"/>
        <v>756</v>
      </c>
      <c r="H161" s="5">
        <f t="shared" si="83"/>
        <v>677</v>
      </c>
      <c r="I161" s="5">
        <f t="shared" si="83"/>
        <v>699</v>
      </c>
      <c r="K161" s="100">
        <f t="shared" ref="K161" si="84">+SUM(K156:K160)</f>
        <v>731</v>
      </c>
    </row>
    <row r="162" spans="1:11" x14ac:dyDescent="0.3">
      <c r="A162" s="2" t="s">
        <v>104</v>
      </c>
      <c r="B162" s="3">
        <v>69</v>
      </c>
      <c r="C162" s="3">
        <v>39</v>
      </c>
      <c r="D162" s="3">
        <v>30</v>
      </c>
      <c r="E162" s="3">
        <v>22</v>
      </c>
      <c r="F162" s="3">
        <v>18</v>
      </c>
      <c r="G162" s="3">
        <v>12</v>
      </c>
      <c r="H162" s="3">
        <v>7</v>
      </c>
      <c r="I162" s="3">
        <v>9</v>
      </c>
      <c r="J162" s="97"/>
      <c r="K162" s="87">
        <v>30</v>
      </c>
    </row>
    <row r="163" spans="1:11" x14ac:dyDescent="0.3">
      <c r="A163" s="2" t="s">
        <v>108</v>
      </c>
      <c r="B163" s="3">
        <f t="shared" ref="B163:H163" si="85">-(SUM(B161:B162)+B81)</f>
        <v>104</v>
      </c>
      <c r="C163" s="3">
        <f t="shared" si="85"/>
        <v>264</v>
      </c>
      <c r="D163" s="3">
        <f t="shared" si="85"/>
        <v>291</v>
      </c>
      <c r="E163" s="3">
        <f t="shared" si="85"/>
        <v>159</v>
      </c>
      <c r="F163" s="3">
        <f t="shared" si="85"/>
        <v>377</v>
      </c>
      <c r="G163" s="3">
        <f t="shared" si="85"/>
        <v>318</v>
      </c>
      <c r="H163" s="3">
        <f t="shared" si="85"/>
        <v>11</v>
      </c>
      <c r="I163" s="3">
        <f>-(SUM(I161:I162)+I81)</f>
        <v>50</v>
      </c>
      <c r="J163" s="97"/>
      <c r="K163" s="89">
        <v>119</v>
      </c>
    </row>
    <row r="164" spans="1:11" ht="15" thickBot="1" x14ac:dyDescent="0.35">
      <c r="A164" s="6" t="s">
        <v>123</v>
      </c>
      <c r="B164" s="7">
        <f t="shared" ref="B164:H164" si="86">+SUM(B161:B163)</f>
        <v>963</v>
      </c>
      <c r="C164" s="7">
        <f t="shared" si="86"/>
        <v>1143</v>
      </c>
      <c r="D164" s="7">
        <f t="shared" si="86"/>
        <v>1105</v>
      </c>
      <c r="E164" s="7">
        <f t="shared" si="86"/>
        <v>1028</v>
      </c>
      <c r="F164" s="7">
        <f t="shared" si="86"/>
        <v>1119</v>
      </c>
      <c r="G164" s="7">
        <f t="shared" si="86"/>
        <v>1086</v>
      </c>
      <c r="H164" s="7">
        <f t="shared" si="86"/>
        <v>695</v>
      </c>
      <c r="I164" s="7">
        <f>+SUM(I161:I163)</f>
        <v>758</v>
      </c>
      <c r="J164" s="41"/>
      <c r="K164" s="7">
        <f t="shared" ref="K164" si="87">+SUM(K161:K163)</f>
        <v>880</v>
      </c>
    </row>
    <row r="165" spans="1:11" ht="15" thickTop="1" x14ac:dyDescent="0.3">
      <c r="A165" s="12" t="s">
        <v>111</v>
      </c>
      <c r="B165" s="13">
        <f t="shared" ref="B165:H165" si="88">+B164+B81</f>
        <v>0</v>
      </c>
      <c r="C165" s="13">
        <f t="shared" si="88"/>
        <v>0</v>
      </c>
      <c r="D165" s="13">
        <f t="shared" si="88"/>
        <v>0</v>
      </c>
      <c r="E165" s="13">
        <f t="shared" si="88"/>
        <v>0</v>
      </c>
      <c r="F165" s="13">
        <f t="shared" si="88"/>
        <v>0</v>
      </c>
      <c r="G165" s="13">
        <f t="shared" si="88"/>
        <v>0</v>
      </c>
      <c r="H165" s="13">
        <f t="shared" si="88"/>
        <v>0</v>
      </c>
      <c r="I165" s="13">
        <f>+I164+I81</f>
        <v>0</v>
      </c>
      <c r="J165" s="99"/>
      <c r="K165" s="13">
        <f t="shared" ref="K165" si="89">+K164+K81</f>
        <v>0</v>
      </c>
    </row>
    <row r="166" spans="1:11" x14ac:dyDescent="0.3">
      <c r="A166" s="1" t="s">
        <v>124</v>
      </c>
      <c r="J166" s="97"/>
    </row>
    <row r="167" spans="1:11" x14ac:dyDescent="0.3">
      <c r="A167" s="2" t="s">
        <v>100</v>
      </c>
      <c r="B167" s="3">
        <v>121</v>
      </c>
      <c r="C167" s="3">
        <v>133</v>
      </c>
      <c r="D167" s="3">
        <v>140</v>
      </c>
      <c r="E167" s="3">
        <v>160</v>
      </c>
      <c r="F167" s="3">
        <v>149</v>
      </c>
      <c r="G167" s="3">
        <v>148</v>
      </c>
      <c r="H167" s="3">
        <v>130</v>
      </c>
      <c r="I167" s="3">
        <v>124</v>
      </c>
      <c r="J167" s="97"/>
      <c r="K167" s="87">
        <v>109</v>
      </c>
    </row>
    <row r="168" spans="1:11" x14ac:dyDescent="0.3">
      <c r="A168" s="2" t="s">
        <v>101</v>
      </c>
      <c r="B168" s="3">
        <v>87</v>
      </c>
      <c r="C168" s="3">
        <v>84</v>
      </c>
      <c r="D168" s="3">
        <v>104</v>
      </c>
      <c r="E168" s="3">
        <v>116</v>
      </c>
      <c r="F168" s="3">
        <v>111</v>
      </c>
      <c r="G168" s="3">
        <v>132</v>
      </c>
      <c r="H168" s="3">
        <v>136</v>
      </c>
      <c r="I168" s="3">
        <v>134</v>
      </c>
      <c r="K168" s="87">
        <v>82</v>
      </c>
    </row>
    <row r="169" spans="1:11" x14ac:dyDescent="0.3">
      <c r="A169" s="2" t="s">
        <v>102</v>
      </c>
      <c r="B169" s="3">
        <v>46</v>
      </c>
      <c r="C169" s="3">
        <v>48</v>
      </c>
      <c r="D169" s="3">
        <v>54</v>
      </c>
      <c r="E169" s="3">
        <v>56</v>
      </c>
      <c r="F169" s="3">
        <v>50</v>
      </c>
      <c r="G169" s="3">
        <v>44</v>
      </c>
      <c r="H169" s="3">
        <v>46</v>
      </c>
      <c r="I169" s="3">
        <v>41</v>
      </c>
      <c r="K169" s="87">
        <v>38</v>
      </c>
    </row>
    <row r="170" spans="1:11" x14ac:dyDescent="0.3">
      <c r="A170" s="2" t="s">
        <v>106</v>
      </c>
      <c r="B170" s="3">
        <v>49</v>
      </c>
      <c r="C170" s="3">
        <v>43</v>
      </c>
      <c r="D170" s="3">
        <v>56</v>
      </c>
      <c r="E170" s="3">
        <v>55</v>
      </c>
      <c r="F170" s="3">
        <v>53</v>
      </c>
      <c r="G170" s="3">
        <v>46</v>
      </c>
      <c r="H170" s="3">
        <v>43</v>
      </c>
      <c r="I170" s="3">
        <v>42</v>
      </c>
      <c r="K170" s="87">
        <v>44</v>
      </c>
    </row>
    <row r="171" spans="1:11" x14ac:dyDescent="0.3">
      <c r="A171" s="2" t="s">
        <v>107</v>
      </c>
      <c r="B171" s="3">
        <v>210</v>
      </c>
      <c r="C171" s="3">
        <v>230</v>
      </c>
      <c r="D171" s="3">
        <v>233</v>
      </c>
      <c r="E171" s="3">
        <v>217</v>
      </c>
      <c r="F171" s="3">
        <v>195</v>
      </c>
      <c r="G171" s="3">
        <v>214</v>
      </c>
      <c r="H171" s="3">
        <v>222</v>
      </c>
      <c r="I171" s="3">
        <v>220</v>
      </c>
      <c r="K171" s="87">
        <v>175</v>
      </c>
    </row>
    <row r="172" spans="1:11" x14ac:dyDescent="0.3">
      <c r="A172" s="4" t="s">
        <v>119</v>
      </c>
      <c r="B172" s="5">
        <f t="shared" ref="B172:I172" si="90">+SUM(B167:B171)</f>
        <v>513</v>
      </c>
      <c r="C172" s="5">
        <f t="shared" si="90"/>
        <v>538</v>
      </c>
      <c r="D172" s="5">
        <f t="shared" si="90"/>
        <v>587</v>
      </c>
      <c r="E172" s="5">
        <f t="shared" si="90"/>
        <v>604</v>
      </c>
      <c r="F172" s="5">
        <f t="shared" si="90"/>
        <v>558</v>
      </c>
      <c r="G172" s="5">
        <f t="shared" si="90"/>
        <v>584</v>
      </c>
      <c r="H172" s="5">
        <f t="shared" si="90"/>
        <v>577</v>
      </c>
      <c r="I172" s="5">
        <f t="shared" si="90"/>
        <v>561</v>
      </c>
      <c r="K172" s="100">
        <f t="shared" ref="K172" si="91">+SUM(K167:K171)</f>
        <v>448</v>
      </c>
    </row>
    <row r="173" spans="1:11" x14ac:dyDescent="0.3">
      <c r="A173" s="2" t="s">
        <v>104</v>
      </c>
      <c r="B173" s="3">
        <v>18</v>
      </c>
      <c r="C173" s="3">
        <v>27</v>
      </c>
      <c r="D173" s="3">
        <v>28</v>
      </c>
      <c r="E173" s="3">
        <v>33</v>
      </c>
      <c r="F173" s="3">
        <v>31</v>
      </c>
      <c r="G173" s="3">
        <v>25</v>
      </c>
      <c r="H173" s="3">
        <v>26</v>
      </c>
      <c r="I173" s="3">
        <v>22</v>
      </c>
      <c r="K173" s="87">
        <v>16</v>
      </c>
    </row>
    <row r="174" spans="1:11" x14ac:dyDescent="0.3">
      <c r="A174" s="2" t="s">
        <v>108</v>
      </c>
      <c r="B174" s="3">
        <v>75</v>
      </c>
      <c r="C174" s="3">
        <v>84</v>
      </c>
      <c r="D174" s="3">
        <v>91</v>
      </c>
      <c r="E174" s="3">
        <v>110</v>
      </c>
      <c r="F174" s="3">
        <v>116</v>
      </c>
      <c r="G174" s="3">
        <v>112</v>
      </c>
      <c r="H174" s="3">
        <v>141</v>
      </c>
      <c r="I174" s="3">
        <v>134</v>
      </c>
      <c r="K174" s="87">
        <v>54</v>
      </c>
    </row>
    <row r="175" spans="1:11" ht="15" thickBot="1" x14ac:dyDescent="0.35">
      <c r="A175" s="6" t="s">
        <v>125</v>
      </c>
      <c r="B175" s="7">
        <f t="shared" ref="B175:H175" si="92">+SUM(B172:B174)</f>
        <v>606</v>
      </c>
      <c r="C175" s="7">
        <f t="shared" si="92"/>
        <v>649</v>
      </c>
      <c r="D175" s="7">
        <f t="shared" si="92"/>
        <v>706</v>
      </c>
      <c r="E175" s="7">
        <f t="shared" si="92"/>
        <v>747</v>
      </c>
      <c r="F175" s="7">
        <f t="shared" si="92"/>
        <v>705</v>
      </c>
      <c r="G175" s="7">
        <f t="shared" si="92"/>
        <v>721</v>
      </c>
      <c r="H175" s="7">
        <f t="shared" si="92"/>
        <v>744</v>
      </c>
      <c r="I175" s="7">
        <f>+SUM(I172:I174)</f>
        <v>717</v>
      </c>
      <c r="K175" s="101">
        <f t="shared" ref="K175" si="93">+SUM(K172:K174)</f>
        <v>518</v>
      </c>
    </row>
    <row r="176" spans="1:11" ht="15" thickTop="1" x14ac:dyDescent="0.3">
      <c r="A176" s="12" t="s">
        <v>111</v>
      </c>
      <c r="B176" s="13">
        <f t="shared" ref="B176:H176" si="94">+B175-B66</f>
        <v>0</v>
      </c>
      <c r="C176" s="13">
        <f t="shared" si="94"/>
        <v>0</v>
      </c>
      <c r="D176" s="13">
        <f t="shared" si="94"/>
        <v>0</v>
      </c>
      <c r="E176" s="13">
        <f t="shared" si="94"/>
        <v>0</v>
      </c>
      <c r="F176" s="13">
        <f t="shared" si="94"/>
        <v>0</v>
      </c>
      <c r="G176" s="13">
        <f t="shared" si="94"/>
        <v>0</v>
      </c>
      <c r="H176" s="13">
        <f t="shared" si="94"/>
        <v>0</v>
      </c>
      <c r="I176" s="13">
        <f>+I175-I66</f>
        <v>0</v>
      </c>
      <c r="J176" s="13"/>
      <c r="K176" s="13">
        <f t="shared" ref="K176" si="95">+K175-K66</f>
        <v>0</v>
      </c>
    </row>
    <row r="177" spans="1:9" x14ac:dyDescent="0.3">
      <c r="A177" s="14" t="s">
        <v>126</v>
      </c>
      <c r="B177" s="14"/>
      <c r="C177" s="14"/>
      <c r="D177" s="14"/>
      <c r="E177" s="14"/>
      <c r="F177" s="14"/>
      <c r="G177" s="14"/>
      <c r="H177" s="14"/>
      <c r="I177" s="14"/>
    </row>
    <row r="178" spans="1:9" x14ac:dyDescent="0.3">
      <c r="A178" s="29" t="s">
        <v>127</v>
      </c>
    </row>
    <row r="179" spans="1:9" x14ac:dyDescent="0.3">
      <c r="A179" s="34" t="s">
        <v>100</v>
      </c>
      <c r="B179" s="35">
        <v>0.12</v>
      </c>
      <c r="C179" s="35">
        <v>0.08</v>
      </c>
      <c r="D179" s="35">
        <v>0.03</v>
      </c>
      <c r="E179" s="35">
        <v>-0.02</v>
      </c>
      <c r="F179" s="35">
        <v>7.0000000000000007E-2</v>
      </c>
      <c r="G179" s="35">
        <v>-0.09</v>
      </c>
      <c r="H179" s="35">
        <v>0.19</v>
      </c>
      <c r="I179" s="35">
        <v>7.0000000000000007E-2</v>
      </c>
    </row>
    <row r="180" spans="1:9" x14ac:dyDescent="0.3">
      <c r="A180" s="32" t="s">
        <v>113</v>
      </c>
      <c r="B180" s="31">
        <v>0.14000000000000001</v>
      </c>
      <c r="C180" s="31">
        <v>0.1</v>
      </c>
      <c r="D180" s="31">
        <v>0.04</v>
      </c>
      <c r="E180" s="31">
        <v>-0.04</v>
      </c>
      <c r="F180" s="31">
        <v>0.08</v>
      </c>
      <c r="G180" s="31">
        <v>-7.0000000000000007E-2</v>
      </c>
      <c r="H180" s="31">
        <v>0.25</v>
      </c>
      <c r="I180" s="31">
        <v>0.05</v>
      </c>
    </row>
    <row r="181" spans="1:9" x14ac:dyDescent="0.3">
      <c r="A181" s="32" t="s">
        <v>114</v>
      </c>
      <c r="B181" s="31">
        <v>0.12</v>
      </c>
      <c r="C181" s="31">
        <v>0.08</v>
      </c>
      <c r="D181" s="31">
        <v>0.03</v>
      </c>
      <c r="E181" s="31">
        <v>0.01</v>
      </c>
      <c r="F181" s="31">
        <v>7.0000000000000007E-2</v>
      </c>
      <c r="G181" s="31">
        <v>-0.12</v>
      </c>
      <c r="H181" s="31">
        <v>0.08</v>
      </c>
      <c r="I181" s="31">
        <v>0.09</v>
      </c>
    </row>
    <row r="182" spans="1:9" x14ac:dyDescent="0.3">
      <c r="A182" s="32" t="s">
        <v>115</v>
      </c>
      <c r="B182" s="31">
        <v>-0.05</v>
      </c>
      <c r="C182" s="31">
        <v>-0.13</v>
      </c>
      <c r="D182" s="31">
        <v>-0.1</v>
      </c>
      <c r="E182" s="31">
        <v>-0.08</v>
      </c>
      <c r="F182" s="31">
        <v>0</v>
      </c>
      <c r="G182" s="31">
        <v>-0.14000000000000001</v>
      </c>
      <c r="H182" s="31">
        <v>-0.02</v>
      </c>
      <c r="I182" s="31">
        <v>0.25</v>
      </c>
    </row>
    <row r="183" spans="1:9" x14ac:dyDescent="0.3">
      <c r="A183" s="34" t="s">
        <v>101</v>
      </c>
      <c r="B183" s="35">
        <v>0.18</v>
      </c>
      <c r="C183" s="35">
        <v>0.155</v>
      </c>
      <c r="D183" s="35">
        <v>0.1</v>
      </c>
      <c r="E183" s="35">
        <v>0.09</v>
      </c>
      <c r="F183" s="35">
        <v>0.11</v>
      </c>
      <c r="G183" s="35">
        <v>-0.01</v>
      </c>
      <c r="H183" s="35">
        <v>0.17</v>
      </c>
      <c r="I183" s="35">
        <v>0.12</v>
      </c>
    </row>
    <row r="184" spans="1:9" x14ac:dyDescent="0.3">
      <c r="A184" s="32" t="s">
        <v>113</v>
      </c>
      <c r="B184" s="31">
        <v>0.185</v>
      </c>
      <c r="C184" s="31">
        <v>0.23499999999999999</v>
      </c>
      <c r="D184" s="31">
        <v>0.08</v>
      </c>
      <c r="E184" s="31">
        <v>0.06</v>
      </c>
      <c r="F184" s="31">
        <v>0.12</v>
      </c>
      <c r="G184" s="31">
        <v>-0.03</v>
      </c>
      <c r="H184" s="31">
        <v>0.13</v>
      </c>
      <c r="I184" s="31">
        <v>0.09</v>
      </c>
    </row>
    <row r="185" spans="1:9" x14ac:dyDescent="0.3">
      <c r="A185" s="32" t="s">
        <v>114</v>
      </c>
      <c r="B185" s="31">
        <v>0.125</v>
      </c>
      <c r="C185" s="31">
        <v>9.5000000000000001E-2</v>
      </c>
      <c r="D185" s="31">
        <v>0.17</v>
      </c>
      <c r="E185" s="31">
        <v>0.16</v>
      </c>
      <c r="F185" s="31">
        <v>0.09</v>
      </c>
      <c r="G185" s="31">
        <v>0.02</v>
      </c>
      <c r="H185" s="31">
        <v>0.25</v>
      </c>
      <c r="I185" s="31">
        <v>0.16</v>
      </c>
    </row>
    <row r="186" spans="1:9" x14ac:dyDescent="0.3">
      <c r="A186" s="32" t="s">
        <v>115</v>
      </c>
      <c r="B186" s="31">
        <v>7.4999999999999997E-2</v>
      </c>
      <c r="C186" s="31">
        <v>0.14499999999999999</v>
      </c>
      <c r="D186" s="31">
        <v>7.0000000000000007E-2</v>
      </c>
      <c r="E186" s="31">
        <v>0.06</v>
      </c>
      <c r="F186" s="31">
        <v>0.05</v>
      </c>
      <c r="G186" s="31">
        <v>-0.03</v>
      </c>
      <c r="H186" s="31">
        <v>0.19</v>
      </c>
      <c r="I186" s="31">
        <v>0.17</v>
      </c>
    </row>
    <row r="187" spans="1:9" x14ac:dyDescent="0.3">
      <c r="A187" s="34" t="s">
        <v>102</v>
      </c>
      <c r="B187" s="35">
        <v>0.19</v>
      </c>
      <c r="C187" s="35">
        <v>0.27</v>
      </c>
      <c r="D187" s="35">
        <v>0.17</v>
      </c>
      <c r="E187" s="35">
        <v>0.18</v>
      </c>
      <c r="F187" s="35">
        <v>0.24</v>
      </c>
      <c r="G187" s="35">
        <v>0.11</v>
      </c>
      <c r="H187" s="35">
        <v>0.19</v>
      </c>
      <c r="I187" s="35">
        <v>-0.13</v>
      </c>
    </row>
    <row r="188" spans="1:9" x14ac:dyDescent="0.3">
      <c r="A188" s="32" t="s">
        <v>113</v>
      </c>
      <c r="B188" s="31">
        <v>0.28000000000000003</v>
      </c>
      <c r="C188" s="31">
        <v>0.33</v>
      </c>
      <c r="D188" s="31">
        <v>0.18</v>
      </c>
      <c r="E188" s="31">
        <v>0.16</v>
      </c>
      <c r="F188" s="31">
        <v>0.25</v>
      </c>
      <c r="G188" s="31">
        <v>0.12</v>
      </c>
      <c r="H188" s="31">
        <v>0.19</v>
      </c>
      <c r="I188" s="31">
        <v>-0.1</v>
      </c>
    </row>
    <row r="189" spans="1:9" x14ac:dyDescent="0.3">
      <c r="A189" s="32" t="s">
        <v>114</v>
      </c>
      <c r="B189" s="31">
        <v>7.0000000000000007E-2</v>
      </c>
      <c r="C189" s="31">
        <v>0.17</v>
      </c>
      <c r="D189" s="31">
        <v>0.18</v>
      </c>
      <c r="E189" s="31">
        <v>0.23</v>
      </c>
      <c r="F189" s="31">
        <v>0.23</v>
      </c>
      <c r="G189" s="31">
        <v>0.08</v>
      </c>
      <c r="H189" s="31">
        <v>0.19</v>
      </c>
      <c r="I189" s="31">
        <v>-0.21</v>
      </c>
    </row>
    <row r="190" spans="1:9" x14ac:dyDescent="0.3">
      <c r="A190" s="32" t="s">
        <v>115</v>
      </c>
      <c r="B190" s="31">
        <v>0.01</v>
      </c>
      <c r="C190" s="31">
        <v>7.0000000000000007E-2</v>
      </c>
      <c r="D190" s="31">
        <v>0.03</v>
      </c>
      <c r="E190" s="31">
        <v>-0.01</v>
      </c>
      <c r="F190" s="31">
        <v>0.08</v>
      </c>
      <c r="G190" s="31">
        <v>0.11</v>
      </c>
      <c r="H190" s="31">
        <v>0.26</v>
      </c>
      <c r="I190" s="31">
        <v>-0.06</v>
      </c>
    </row>
    <row r="191" spans="1:9" x14ac:dyDescent="0.3">
      <c r="A191" s="34" t="s">
        <v>106</v>
      </c>
      <c r="B191" s="35">
        <v>8.5000000000000006E-2</v>
      </c>
      <c r="C191" s="35">
        <v>0.17499999999999999</v>
      </c>
      <c r="D191" s="35">
        <v>0.13</v>
      </c>
      <c r="E191" s="35">
        <v>0.1</v>
      </c>
      <c r="F191" s="35">
        <v>0.13</v>
      </c>
      <c r="G191" s="35">
        <v>0.01</v>
      </c>
      <c r="H191" s="35">
        <v>0.08</v>
      </c>
      <c r="I191" s="35">
        <v>0.16</v>
      </c>
    </row>
    <row r="192" spans="1:9" x14ac:dyDescent="0.3">
      <c r="A192" s="32" t="s">
        <v>113</v>
      </c>
      <c r="B192" s="31">
        <v>0.16</v>
      </c>
      <c r="C192" s="31">
        <v>0.24</v>
      </c>
      <c r="D192" s="31">
        <v>0.16</v>
      </c>
      <c r="E192" s="31">
        <v>0.09</v>
      </c>
      <c r="F192" s="31">
        <v>0.12</v>
      </c>
      <c r="G192" s="31">
        <v>0</v>
      </c>
      <c r="H192" s="31">
        <v>0.08</v>
      </c>
      <c r="I192" s="31">
        <v>0.17</v>
      </c>
    </row>
    <row r="193" spans="1:9" x14ac:dyDescent="0.3">
      <c r="A193" s="32" t="s">
        <v>114</v>
      </c>
      <c r="B193" s="31">
        <v>-1.4999999999999999E-2</v>
      </c>
      <c r="C193" s="31">
        <v>0.08</v>
      </c>
      <c r="D193" s="31">
        <v>0.09</v>
      </c>
      <c r="E193" s="31">
        <v>0.15</v>
      </c>
      <c r="F193" s="31">
        <v>0.15</v>
      </c>
      <c r="G193" s="31">
        <v>0.03</v>
      </c>
      <c r="H193" s="31">
        <v>0.1</v>
      </c>
      <c r="I193" s="31">
        <v>0.12</v>
      </c>
    </row>
    <row r="194" spans="1:9" x14ac:dyDescent="0.3">
      <c r="A194" s="32" t="s">
        <v>115</v>
      </c>
      <c r="B194" s="31">
        <v>-5.0000000000000001E-3</v>
      </c>
      <c r="C194" s="31">
        <v>7.0000000000000007E-2</v>
      </c>
      <c r="D194" s="31">
        <v>-0.01</v>
      </c>
      <c r="E194" s="31">
        <v>-0.08</v>
      </c>
      <c r="F194" s="31">
        <v>0.08</v>
      </c>
      <c r="G194" s="31">
        <v>-0.04</v>
      </c>
      <c r="H194" s="31">
        <v>-0.09</v>
      </c>
      <c r="I194" s="31">
        <v>0.28000000000000003</v>
      </c>
    </row>
    <row r="195" spans="1:9" x14ac:dyDescent="0.3">
      <c r="A195" s="34" t="s">
        <v>107</v>
      </c>
      <c r="B195" s="35">
        <v>-0.02</v>
      </c>
      <c r="C195" s="35">
        <v>-0.3</v>
      </c>
      <c r="D195" s="35">
        <v>0.02</v>
      </c>
      <c r="E195" s="35">
        <v>0.12</v>
      </c>
      <c r="F195" s="35">
        <v>-0.53</v>
      </c>
      <c r="G195" s="35">
        <v>-0.26</v>
      </c>
      <c r="H195" s="35">
        <v>-0.17</v>
      </c>
      <c r="I195" s="35">
        <v>3.02</v>
      </c>
    </row>
    <row r="196" spans="1:9" x14ac:dyDescent="0.3">
      <c r="A196" s="36" t="s">
        <v>103</v>
      </c>
      <c r="B196" s="38">
        <v>0.14000000000000001</v>
      </c>
      <c r="C196" s="38">
        <v>0.13</v>
      </c>
      <c r="D196" s="38">
        <v>0.08</v>
      </c>
      <c r="E196" s="38">
        <v>0.05</v>
      </c>
      <c r="F196" s="38">
        <v>0.11</v>
      </c>
      <c r="G196" s="38">
        <v>-0.02</v>
      </c>
      <c r="H196" s="38">
        <v>0.17</v>
      </c>
      <c r="I196" s="38">
        <v>0.06</v>
      </c>
    </row>
    <row r="197" spans="1:9" x14ac:dyDescent="0.3">
      <c r="A197" s="34" t="s">
        <v>104</v>
      </c>
      <c r="B197" s="35">
        <v>0.21</v>
      </c>
      <c r="C197" s="35">
        <v>0.02</v>
      </c>
      <c r="D197" s="35">
        <v>0.06</v>
      </c>
      <c r="E197" s="35">
        <v>-0.11</v>
      </c>
      <c r="F197" s="35">
        <v>0.03</v>
      </c>
      <c r="G197" s="35">
        <v>-0.01</v>
      </c>
      <c r="H197" s="35">
        <v>0.16</v>
      </c>
      <c r="I197" s="35">
        <v>7.0000000000000007E-2</v>
      </c>
    </row>
    <row r="198" spans="1:9" x14ac:dyDescent="0.3">
      <c r="A198" s="32" t="s">
        <v>113</v>
      </c>
      <c r="B198" s="31" t="s">
        <v>210</v>
      </c>
      <c r="C198" s="31" t="s">
        <v>210</v>
      </c>
      <c r="D198" s="31" t="s">
        <v>210</v>
      </c>
      <c r="E198" s="31" t="s">
        <v>210</v>
      </c>
      <c r="F198" s="31">
        <v>0.05</v>
      </c>
      <c r="G198" s="31">
        <v>0.01</v>
      </c>
      <c r="H198" s="31">
        <v>0.17</v>
      </c>
      <c r="I198" s="31">
        <v>0.06</v>
      </c>
    </row>
    <row r="199" spans="1:9" x14ac:dyDescent="0.3">
      <c r="A199" s="32" t="s">
        <v>114</v>
      </c>
      <c r="B199" s="31" t="s">
        <v>210</v>
      </c>
      <c r="C199" s="31" t="s">
        <v>210</v>
      </c>
      <c r="D199" s="31" t="s">
        <v>210</v>
      </c>
      <c r="E199" s="31" t="s">
        <v>210</v>
      </c>
      <c r="F199" s="31">
        <v>-0.17</v>
      </c>
      <c r="G199" s="31">
        <v>-0.22</v>
      </c>
      <c r="H199" s="31">
        <v>0.13</v>
      </c>
      <c r="I199" s="31">
        <v>-0.03</v>
      </c>
    </row>
    <row r="200" spans="1:9" x14ac:dyDescent="0.3">
      <c r="A200" s="32" t="s">
        <v>115</v>
      </c>
      <c r="B200" s="31" t="s">
        <v>210</v>
      </c>
      <c r="C200" s="31" t="s">
        <v>210</v>
      </c>
      <c r="D200" s="31" t="s">
        <v>210</v>
      </c>
      <c r="E200" s="31" t="s">
        <v>210</v>
      </c>
      <c r="F200" s="31">
        <v>-0.13</v>
      </c>
      <c r="G200" s="31">
        <v>0.08</v>
      </c>
      <c r="H200" s="31">
        <v>0.14000000000000001</v>
      </c>
      <c r="I200" s="31">
        <v>-0.16</v>
      </c>
    </row>
    <row r="201" spans="1:9" x14ac:dyDescent="0.3">
      <c r="A201" s="32" t="s">
        <v>121</v>
      </c>
      <c r="B201" s="31">
        <v>0.21</v>
      </c>
      <c r="C201" s="31">
        <v>0.02</v>
      </c>
      <c r="D201" s="31">
        <v>0.06</v>
      </c>
      <c r="E201" s="31">
        <v>-0.11</v>
      </c>
      <c r="F201" s="31">
        <v>0.04</v>
      </c>
      <c r="G201" s="31">
        <v>-0.14000000000000001</v>
      </c>
      <c r="H201" s="31">
        <v>-0.01</v>
      </c>
      <c r="I201" s="31">
        <v>0.42</v>
      </c>
    </row>
    <row r="202" spans="1:9" x14ac:dyDescent="0.3">
      <c r="A202" s="30" t="s">
        <v>108</v>
      </c>
      <c r="B202" s="31">
        <v>0</v>
      </c>
      <c r="C202" s="31">
        <v>0</v>
      </c>
      <c r="D202" s="31">
        <v>0</v>
      </c>
      <c r="E202" s="31">
        <v>0</v>
      </c>
      <c r="F202" s="31">
        <v>0</v>
      </c>
      <c r="G202" s="31">
        <v>0</v>
      </c>
      <c r="H202" s="31">
        <v>0</v>
      </c>
      <c r="I202" s="31">
        <v>0</v>
      </c>
    </row>
    <row r="203" spans="1:9" ht="15" thickBot="1" x14ac:dyDescent="0.35">
      <c r="A203" s="33" t="s">
        <v>105</v>
      </c>
      <c r="B203" s="37">
        <v>0.14000000000000001</v>
      </c>
      <c r="C203" s="37">
        <v>0.12</v>
      </c>
      <c r="D203" s="37">
        <v>0.08</v>
      </c>
      <c r="E203" s="37">
        <v>0.04</v>
      </c>
      <c r="F203" s="37">
        <v>0.11</v>
      </c>
      <c r="G203" s="37">
        <v>-0.02</v>
      </c>
      <c r="H203" s="37">
        <v>0.17</v>
      </c>
      <c r="I203" s="37">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0"/>
  <sheetViews>
    <sheetView workbookViewId="0">
      <selection activeCell="M9" sqref="M9"/>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
      <c r="A2" s="40" t="s">
        <v>128</v>
      </c>
      <c r="B2" s="40"/>
      <c r="C2" s="40"/>
      <c r="D2" s="40"/>
      <c r="E2" s="40"/>
      <c r="F2" s="40"/>
      <c r="G2" s="40"/>
      <c r="H2" s="40"/>
      <c r="I2" s="40"/>
      <c r="J2" s="39"/>
      <c r="K2" s="39"/>
      <c r="L2" s="39"/>
      <c r="M2" s="39"/>
      <c r="N2" s="39"/>
    </row>
    <row r="3" spans="1:15" x14ac:dyDescent="0.3">
      <c r="A3" s="41" t="s">
        <v>139</v>
      </c>
      <c r="B3" s="9">
        <f>+B21+B52+B83+B114+B145+B166+B201</f>
        <v>30601</v>
      </c>
      <c r="C3" s="9">
        <f t="shared" ref="C3:N3" si="2">+C21+C52+C83+C114+C145+C166+C201</f>
        <v>32376</v>
      </c>
      <c r="D3" s="9">
        <f t="shared" si="2"/>
        <v>34350</v>
      </c>
      <c r="E3" s="9">
        <f t="shared" si="2"/>
        <v>36397</v>
      </c>
      <c r="F3" s="9">
        <f t="shared" si="2"/>
        <v>39117</v>
      </c>
      <c r="G3" s="9">
        <f t="shared" si="2"/>
        <v>37403</v>
      </c>
      <c r="H3" s="9">
        <f t="shared" si="2"/>
        <v>44538</v>
      </c>
      <c r="I3" s="9">
        <f t="shared" si="2"/>
        <v>46710</v>
      </c>
      <c r="J3" s="9">
        <f t="shared" si="2"/>
        <v>49681.567999999999</v>
      </c>
      <c r="K3" s="9">
        <f t="shared" si="2"/>
        <v>53173.261922000005</v>
      </c>
      <c r="L3" s="9">
        <f t="shared" si="2"/>
        <v>57420.375920917999</v>
      </c>
      <c r="M3" s="9">
        <f t="shared" si="2"/>
        <v>62424.585047087356</v>
      </c>
      <c r="N3" s="9">
        <f t="shared" si="2"/>
        <v>68309.339960426238</v>
      </c>
      <c r="O3" t="s">
        <v>142</v>
      </c>
    </row>
    <row r="4" spans="1:15" x14ac:dyDescent="0.3">
      <c r="A4" s="42" t="s">
        <v>129</v>
      </c>
      <c r="B4" s="47" t="str">
        <f t="shared" ref="B4:H4" si="3">+IFERROR(B3/A3-1,"nm")</f>
        <v>nm</v>
      </c>
      <c r="C4" s="47">
        <f t="shared" si="3"/>
        <v>5.8004640371229765E-2</v>
      </c>
      <c r="D4" s="47">
        <f t="shared" si="3"/>
        <v>6.0971089696071123E-2</v>
      </c>
      <c r="E4" s="47">
        <f t="shared" si="3"/>
        <v>5.95924308588065E-2</v>
      </c>
      <c r="F4" s="47">
        <f t="shared" si="3"/>
        <v>7.4731433909388079E-2</v>
      </c>
      <c r="G4" s="47">
        <f t="shared" si="3"/>
        <v>-4.3817266150267153E-2</v>
      </c>
      <c r="H4" s="47">
        <f t="shared" si="3"/>
        <v>0.19076009945726269</v>
      </c>
      <c r="I4" s="47">
        <f>+IFERROR(I3/H3-1,"nm")</f>
        <v>4.8767344739323759E-2</v>
      </c>
      <c r="J4" s="47">
        <f t="shared" ref="J4:N4" si="4">+IFERROR(J3/I3-1,"nm")</f>
        <v>6.361738385784621E-2</v>
      </c>
      <c r="K4" s="47">
        <f t="shared" si="4"/>
        <v>7.0281475858410936E-2</v>
      </c>
      <c r="L4" s="47">
        <f t="shared" si="4"/>
        <v>7.9873113768120785E-2</v>
      </c>
      <c r="M4" s="47">
        <f t="shared" si="4"/>
        <v>8.7150406905405653E-2</v>
      </c>
      <c r="N4" s="47">
        <f t="shared" si="4"/>
        <v>9.4269828288004787E-2</v>
      </c>
    </row>
    <row r="5" spans="1:15" x14ac:dyDescent="0.3">
      <c r="A5" s="41" t="s">
        <v>130</v>
      </c>
      <c r="B5" s="83">
        <f>+B35+B66+B97+B128+B149+B184+B205</f>
        <v>4839</v>
      </c>
      <c r="C5" s="83">
        <f t="shared" ref="C5:N5" si="5">+C35+C66+C97+C128+C149+C184+C205</f>
        <v>5291</v>
      </c>
      <c r="D5" s="83">
        <f t="shared" si="5"/>
        <v>5651</v>
      </c>
      <c r="E5" s="83">
        <f t="shared" si="5"/>
        <v>5126</v>
      </c>
      <c r="F5" s="83">
        <f t="shared" si="5"/>
        <v>5555</v>
      </c>
      <c r="G5" s="83">
        <f t="shared" si="5"/>
        <v>3697</v>
      </c>
      <c r="H5" s="83">
        <f t="shared" si="5"/>
        <v>7667</v>
      </c>
      <c r="I5" s="83">
        <f t="shared" si="5"/>
        <v>7573</v>
      </c>
      <c r="J5" s="83">
        <f t="shared" si="5"/>
        <v>13006.176964977467</v>
      </c>
      <c r="K5" s="83">
        <f t="shared" si="5"/>
        <v>13937.752997530875</v>
      </c>
      <c r="L5" s="83">
        <f t="shared" si="5"/>
        <v>16127.735776503918</v>
      </c>
      <c r="M5" s="83">
        <f t="shared" si="5"/>
        <v>17750.017095638359</v>
      </c>
      <c r="N5" s="83">
        <f t="shared" si="5"/>
        <v>19700.914811962557</v>
      </c>
      <c r="O5" t="s">
        <v>143</v>
      </c>
    </row>
    <row r="6" spans="1:15" x14ac:dyDescent="0.3">
      <c r="A6" s="42" t="s">
        <v>129</v>
      </c>
      <c r="B6" s="47" t="str">
        <f t="shared" ref="B6:H6" si="6">+IFERROR(B5/A5-1,"nm")</f>
        <v>nm</v>
      </c>
      <c r="C6" s="47">
        <f t="shared" si="6"/>
        <v>9.3407728869601137E-2</v>
      </c>
      <c r="D6" s="47">
        <f t="shared" si="6"/>
        <v>6.8040068040068125E-2</v>
      </c>
      <c r="E6" s="47">
        <f t="shared" si="6"/>
        <v>-9.2903910812245583E-2</v>
      </c>
      <c r="F6" s="47">
        <f t="shared" si="6"/>
        <v>8.3690987124463545E-2</v>
      </c>
      <c r="G6" s="47">
        <f t="shared" si="6"/>
        <v>-0.3344734473447345</v>
      </c>
      <c r="H6" s="47">
        <f t="shared" si="6"/>
        <v>1.0738436570192049</v>
      </c>
      <c r="I6" s="47">
        <f>+IFERROR(I5/H5-1,"nm")</f>
        <v>-1.2260336507108338E-2</v>
      </c>
      <c r="J6" s="47">
        <f t="shared" ref="J6:N6" si="7">+IFERROR(J5/I5-1,"nm")</f>
        <v>0.71744050772183643</v>
      </c>
      <c r="K6" s="47">
        <f t="shared" si="7"/>
        <v>7.1625661796077322E-2</v>
      </c>
      <c r="L6" s="47">
        <f t="shared" si="7"/>
        <v>0.15712595705785626</v>
      </c>
      <c r="M6" s="47">
        <f t="shared" si="7"/>
        <v>0.10058952735931492</v>
      </c>
      <c r="N6" s="47">
        <f t="shared" si="7"/>
        <v>0.10990962463938048</v>
      </c>
    </row>
    <row r="7" spans="1:15" x14ac:dyDescent="0.3">
      <c r="A7" s="42" t="s">
        <v>131</v>
      </c>
      <c r="B7" s="47">
        <f>+IFERROR(B5/B$3,"nm")</f>
        <v>0.15813208718669325</v>
      </c>
      <c r="C7" s="47">
        <f t="shared" ref="C7:I7" si="8">+IFERROR(C5/C$3,"nm")</f>
        <v>0.16342352359772672</v>
      </c>
      <c r="D7" s="47">
        <f t="shared" si="8"/>
        <v>0.16451237263464338</v>
      </c>
      <c r="E7" s="47">
        <f t="shared" si="8"/>
        <v>0.14083578316894249</v>
      </c>
      <c r="F7" s="47">
        <f t="shared" si="8"/>
        <v>0.14200986783240024</v>
      </c>
      <c r="G7" s="47">
        <f t="shared" si="8"/>
        <v>9.8842338849824879E-2</v>
      </c>
      <c r="H7" s="47">
        <f t="shared" si="8"/>
        <v>0.17214513449189456</v>
      </c>
      <c r="I7" s="47">
        <f t="shared" si="8"/>
        <v>0.16212802397773496</v>
      </c>
      <c r="J7" s="47">
        <f t="shared" ref="J7:N7" si="9">+IFERROR(J5/J$3,"nm")</f>
        <v>0.26179079060019739</v>
      </c>
      <c r="K7" s="47">
        <f t="shared" si="9"/>
        <v>0.26211957840721151</v>
      </c>
      <c r="L7" s="47">
        <f t="shared" si="9"/>
        <v>0.28087130252709913</v>
      </c>
      <c r="M7" s="47">
        <f t="shared" si="9"/>
        <v>0.2843433734040744</v>
      </c>
      <c r="N7" s="47">
        <f t="shared" si="9"/>
        <v>0.28840733673280872</v>
      </c>
    </row>
    <row r="8" spans="1:15" x14ac:dyDescent="0.3">
      <c r="A8" s="41" t="s">
        <v>132</v>
      </c>
      <c r="B8" s="83">
        <f>+B38+B69+B100+B131+B152+B187+B208</f>
        <v>606</v>
      </c>
      <c r="C8" s="83">
        <f t="shared" ref="C8:N8" si="10">+C38+C69+C100+C131+C152+C187+C208</f>
        <v>649</v>
      </c>
      <c r="D8" s="83">
        <f t="shared" si="10"/>
        <v>706</v>
      </c>
      <c r="E8" s="83">
        <f t="shared" si="10"/>
        <v>747</v>
      </c>
      <c r="F8" s="83">
        <f t="shared" si="10"/>
        <v>705</v>
      </c>
      <c r="G8" s="83">
        <f t="shared" si="10"/>
        <v>721</v>
      </c>
      <c r="H8" s="83">
        <f t="shared" si="10"/>
        <v>744</v>
      </c>
      <c r="I8" s="83">
        <f t="shared" si="10"/>
        <v>717</v>
      </c>
      <c r="J8" s="83">
        <f t="shared" si="10"/>
        <v>465.54914866448689</v>
      </c>
      <c r="K8" s="83">
        <f t="shared" si="10"/>
        <v>513.32035887074267</v>
      </c>
      <c r="L8" s="83">
        <f t="shared" si="10"/>
        <v>494.90283881026033</v>
      </c>
      <c r="M8" s="83">
        <f t="shared" si="10"/>
        <v>531.61362887013399</v>
      </c>
      <c r="N8" s="83">
        <f t="shared" si="10"/>
        <v>569.65940228214765</v>
      </c>
      <c r="O8" t="s">
        <v>144</v>
      </c>
    </row>
    <row r="9" spans="1:15" x14ac:dyDescent="0.3">
      <c r="A9" s="42" t="s">
        <v>129</v>
      </c>
      <c r="B9" s="47" t="str">
        <f t="shared" ref="B9:H9" si="11">+IFERROR(B8/A8-1,"nm")</f>
        <v>nm</v>
      </c>
      <c r="C9" s="47">
        <f t="shared" si="11"/>
        <v>7.0957095709570872E-2</v>
      </c>
      <c r="D9" s="47">
        <f t="shared" si="11"/>
        <v>8.7827426810477727E-2</v>
      </c>
      <c r="E9" s="47">
        <f t="shared" si="11"/>
        <v>5.8073654390934815E-2</v>
      </c>
      <c r="F9" s="47">
        <f t="shared" si="11"/>
        <v>-5.6224899598393607E-2</v>
      </c>
      <c r="G9" s="47">
        <f t="shared" si="11"/>
        <v>2.2695035460992941E-2</v>
      </c>
      <c r="H9" s="47">
        <f t="shared" si="11"/>
        <v>3.1900138696255187E-2</v>
      </c>
      <c r="I9" s="47">
        <f>+IFERROR(I8/H8-1,"nm")</f>
        <v>-3.6290322580645129E-2</v>
      </c>
      <c r="J9" s="47">
        <f t="shared" ref="J9:N9" si="12">+IFERROR(J8/I8-1,"nm")</f>
        <v>-0.35069853742749391</v>
      </c>
      <c r="K9" s="47">
        <f t="shared" si="12"/>
        <v>0.10261260350984691</v>
      </c>
      <c r="L9" s="47">
        <f t="shared" si="12"/>
        <v>-3.5879192676088634E-2</v>
      </c>
      <c r="M9" s="47">
        <f t="shared" si="12"/>
        <v>7.4177772243388063E-2</v>
      </c>
      <c r="N9" s="47">
        <f t="shared" si="12"/>
        <v>7.1566587735672371E-2</v>
      </c>
    </row>
    <row r="10" spans="1:15" x14ac:dyDescent="0.3">
      <c r="A10" s="42" t="s">
        <v>133</v>
      </c>
      <c r="B10" s="47">
        <f>+IFERROR(B8/B$3,"nm")</f>
        <v>1.9803274402797295E-2</v>
      </c>
      <c r="C10" s="47">
        <f t="shared" ref="C10:I10" si="13">+IFERROR(C8/C$3,"nm")</f>
        <v>2.0045712873733631E-2</v>
      </c>
      <c r="D10" s="47">
        <f t="shared" si="13"/>
        <v>2.0553129548762736E-2</v>
      </c>
      <c r="E10" s="47">
        <f t="shared" si="13"/>
        <v>2.0523669533203285E-2</v>
      </c>
      <c r="F10" s="47">
        <f t="shared" si="13"/>
        <v>1.8022854513382928E-2</v>
      </c>
      <c r="G10" s="47">
        <f t="shared" si="13"/>
        <v>1.9276528620698875E-2</v>
      </c>
      <c r="H10" s="47">
        <f t="shared" si="13"/>
        <v>1.6704836319547355E-2</v>
      </c>
      <c r="I10" s="47">
        <f t="shared" si="13"/>
        <v>1.5350032113037893E-2</v>
      </c>
      <c r="J10" s="47">
        <f t="shared" ref="J10:N10" si="14">+IFERROR(J8/J$3,"nm")</f>
        <v>9.3706613419384608E-3</v>
      </c>
      <c r="K10" s="47">
        <f t="shared" si="14"/>
        <v>9.6537308473520697E-3</v>
      </c>
      <c r="L10" s="47">
        <f t="shared" si="14"/>
        <v>8.6189411140718316E-3</v>
      </c>
      <c r="M10" s="47">
        <f t="shared" si="14"/>
        <v>8.5160939150678155E-3</v>
      </c>
      <c r="N10" s="47">
        <f t="shared" si="14"/>
        <v>8.3394072115492452E-3</v>
      </c>
    </row>
    <row r="11" spans="1:15" x14ac:dyDescent="0.3">
      <c r="A11" s="41" t="s">
        <v>134</v>
      </c>
      <c r="B11" s="83">
        <f>B5-B8</f>
        <v>4233</v>
      </c>
      <c r="C11" s="83">
        <f t="shared" ref="C11:N11" si="15">C5-C8</f>
        <v>4642</v>
      </c>
      <c r="D11" s="83">
        <f t="shared" si="15"/>
        <v>4945</v>
      </c>
      <c r="E11" s="83">
        <f t="shared" si="15"/>
        <v>4379</v>
      </c>
      <c r="F11" s="83">
        <f t="shared" si="15"/>
        <v>4850</v>
      </c>
      <c r="G11" s="83">
        <f t="shared" si="15"/>
        <v>2976</v>
      </c>
      <c r="H11" s="83">
        <f t="shared" si="15"/>
        <v>6923</v>
      </c>
      <c r="I11" s="83">
        <f t="shared" si="15"/>
        <v>6856</v>
      </c>
      <c r="J11" s="83">
        <f t="shared" si="15"/>
        <v>12540.627816312979</v>
      </c>
      <c r="K11" s="83">
        <f t="shared" si="15"/>
        <v>13424.432638660133</v>
      </c>
      <c r="L11" s="83">
        <f t="shared" si="15"/>
        <v>15632.832937693658</v>
      </c>
      <c r="M11" s="83">
        <f t="shared" si="15"/>
        <v>17218.403466768224</v>
      </c>
      <c r="N11" s="83">
        <f t="shared" si="15"/>
        <v>19131.255409680409</v>
      </c>
      <c r="O11" t="s">
        <v>145</v>
      </c>
    </row>
    <row r="12" spans="1:15" x14ac:dyDescent="0.3">
      <c r="A12" s="42" t="s">
        <v>129</v>
      </c>
      <c r="B12" s="47" t="str">
        <f t="shared" ref="B12:H12" si="16">+IFERROR(B11/A11-1,"nm")</f>
        <v>nm</v>
      </c>
      <c r="C12" s="47">
        <f t="shared" si="16"/>
        <v>9.6621781242617555E-2</v>
      </c>
      <c r="D12" s="47">
        <f t="shared" si="16"/>
        <v>6.5273588970271357E-2</v>
      </c>
      <c r="E12" s="47">
        <f t="shared" si="16"/>
        <v>-0.11445904954499497</v>
      </c>
      <c r="F12" s="47">
        <f t="shared" si="16"/>
        <v>0.10755880337976698</v>
      </c>
      <c r="G12" s="47">
        <f t="shared" si="16"/>
        <v>-0.38639175257731961</v>
      </c>
      <c r="H12" s="47">
        <f t="shared" si="16"/>
        <v>1.32627688172043</v>
      </c>
      <c r="I12" s="47">
        <f>+IFERROR(I11/H11-1,"nm")</f>
        <v>-9.67788530983682E-3</v>
      </c>
      <c r="J12" s="47">
        <f t="shared" ref="J12:N12" si="17">+IFERROR(J11/I11-1,"nm")</f>
        <v>0.82914641428135627</v>
      </c>
      <c r="K12" s="47">
        <f t="shared" si="17"/>
        <v>7.047532510274257E-2</v>
      </c>
      <c r="L12" s="47">
        <f t="shared" si="17"/>
        <v>0.1645060434564436</v>
      </c>
      <c r="M12" s="47">
        <f t="shared" si="17"/>
        <v>0.10142566836056077</v>
      </c>
      <c r="N12" s="47">
        <f t="shared" si="17"/>
        <v>0.11109345570883011</v>
      </c>
    </row>
    <row r="13" spans="1:15" x14ac:dyDescent="0.3">
      <c r="A13" s="42" t="s">
        <v>131</v>
      </c>
      <c r="B13" s="47">
        <f>+IFERROR(B11/B$3,"nm")</f>
        <v>0.13832881278389594</v>
      </c>
      <c r="C13" s="47">
        <f t="shared" ref="C13:I13" si="18">+IFERROR(C11/C$3,"nm")</f>
        <v>0.14337781072399308</v>
      </c>
      <c r="D13" s="47">
        <f t="shared" si="18"/>
        <v>0.14395924308588065</v>
      </c>
      <c r="E13" s="47">
        <f t="shared" si="18"/>
        <v>0.12031211363573921</v>
      </c>
      <c r="F13" s="47">
        <f t="shared" si="18"/>
        <v>0.12398701331901731</v>
      </c>
      <c r="G13" s="47">
        <f t="shared" si="18"/>
        <v>7.9565810229126011E-2</v>
      </c>
      <c r="H13" s="47">
        <f t="shared" si="18"/>
        <v>0.1554402981723472</v>
      </c>
      <c r="I13" s="47">
        <f t="shared" si="18"/>
        <v>0.14677799186469706</v>
      </c>
      <c r="J13" s="47">
        <f t="shared" ref="J13:N13" si="19">+IFERROR(J11/J$3,"nm")</f>
        <v>0.25242012925825891</v>
      </c>
      <c r="K13" s="47">
        <f t="shared" si="19"/>
        <v>0.25246584755985946</v>
      </c>
      <c r="L13" s="47">
        <f t="shared" si="19"/>
        <v>0.27225236141302733</v>
      </c>
      <c r="M13" s="47">
        <f t="shared" si="19"/>
        <v>0.27582727948900659</v>
      </c>
      <c r="N13" s="47">
        <f t="shared" si="19"/>
        <v>0.28006792952125947</v>
      </c>
    </row>
    <row r="14" spans="1:15" x14ac:dyDescent="0.3">
      <c r="A14" s="41" t="s">
        <v>135</v>
      </c>
      <c r="B14" s="83">
        <f>+B45+B76+B107+B138+B159+B194+B215</f>
        <v>963</v>
      </c>
      <c r="C14" s="83">
        <f t="shared" ref="C14:N14" si="20">+C45+C76+C107+C138+C159+C194+C215</f>
        <v>1143</v>
      </c>
      <c r="D14" s="83">
        <f t="shared" si="20"/>
        <v>1105</v>
      </c>
      <c r="E14" s="83">
        <f t="shared" si="20"/>
        <v>1028</v>
      </c>
      <c r="F14" s="83">
        <f t="shared" si="20"/>
        <v>1119</v>
      </c>
      <c r="G14" s="83">
        <f t="shared" si="20"/>
        <v>1086</v>
      </c>
      <c r="H14" s="83">
        <f t="shared" si="20"/>
        <v>695</v>
      </c>
      <c r="I14" s="83">
        <f t="shared" si="20"/>
        <v>758</v>
      </c>
      <c r="J14" s="83">
        <f t="shared" si="20"/>
        <v>626.80150491285929</v>
      </c>
      <c r="K14" s="83">
        <f t="shared" si="20"/>
        <v>638.38964384450821</v>
      </c>
      <c r="L14" s="83">
        <f t="shared" si="20"/>
        <v>645.61291929923163</v>
      </c>
      <c r="M14" s="83">
        <f t="shared" si="20"/>
        <v>687.89701811218663</v>
      </c>
      <c r="N14" s="83">
        <f t="shared" si="20"/>
        <v>742.2205011865276</v>
      </c>
      <c r="O14" t="s">
        <v>146</v>
      </c>
    </row>
    <row r="15" spans="1:15" x14ac:dyDescent="0.3">
      <c r="A15" s="42" t="s">
        <v>129</v>
      </c>
      <c r="B15" s="47" t="str">
        <f t="shared" ref="B15:H15" si="21">+IFERROR(B14/A14-1,"nm")</f>
        <v>nm</v>
      </c>
      <c r="C15" s="47">
        <f t="shared" si="21"/>
        <v>0.18691588785046731</v>
      </c>
      <c r="D15" s="47">
        <f t="shared" si="21"/>
        <v>-3.3245844269466307E-2</v>
      </c>
      <c r="E15" s="47">
        <f t="shared" si="21"/>
        <v>-6.9683257918552011E-2</v>
      </c>
      <c r="F15" s="47">
        <f t="shared" si="21"/>
        <v>8.8521400778210024E-2</v>
      </c>
      <c r="G15" s="47">
        <f t="shared" si="21"/>
        <v>-2.9490616621983934E-2</v>
      </c>
      <c r="H15" s="47">
        <f t="shared" si="21"/>
        <v>-0.36003683241252304</v>
      </c>
      <c r="I15" s="47">
        <f>+IFERROR(I14/H14-1,"nm")</f>
        <v>9.0647482014388547E-2</v>
      </c>
      <c r="J15" s="47">
        <f t="shared" ref="J15:N15" si="22">+IFERROR(J14/I14-1,"nm")</f>
        <v>-0.17308508586694027</v>
      </c>
      <c r="K15" s="47">
        <f t="shared" si="22"/>
        <v>1.8487733103416781E-2</v>
      </c>
      <c r="L15" s="47">
        <f t="shared" si="22"/>
        <v>1.1314838084188539E-2</v>
      </c>
      <c r="M15" s="47">
        <f t="shared" si="22"/>
        <v>6.5494505374600331E-2</v>
      </c>
      <c r="N15" s="47">
        <f t="shared" si="22"/>
        <v>7.89703715004062E-2</v>
      </c>
    </row>
    <row r="16" spans="1:15" x14ac:dyDescent="0.3">
      <c r="A16" s="42" t="s">
        <v>133</v>
      </c>
      <c r="B16" s="47">
        <f>+IFERROR(B14/B$3,"nm")</f>
        <v>3.146955981830659E-2</v>
      </c>
      <c r="C16" s="47">
        <f t="shared" ref="C16:I16" si="23">+IFERROR(C14/C$3,"nm")</f>
        <v>3.5303928836174947E-2</v>
      </c>
      <c r="D16" s="47">
        <f t="shared" si="23"/>
        <v>3.2168850072780204E-2</v>
      </c>
      <c r="E16" s="47">
        <f t="shared" si="23"/>
        <v>2.8244086051048164E-2</v>
      </c>
      <c r="F16" s="47">
        <f t="shared" si="23"/>
        <v>2.8606488227624818E-2</v>
      </c>
      <c r="G16" s="47">
        <f t="shared" si="23"/>
        <v>2.9035104136031869E-2</v>
      </c>
      <c r="H16" s="47">
        <f t="shared" si="23"/>
        <v>1.5604652207104046E-2</v>
      </c>
      <c r="I16" s="47">
        <f t="shared" si="23"/>
        <v>1.6227788482123744E-2</v>
      </c>
      <c r="J16" s="47">
        <f t="shared" ref="J16:N16" si="24">+IFERROR(J14/J$3,"nm")</f>
        <v>1.2616379275969295E-2</v>
      </c>
      <c r="K16" s="47">
        <f t="shared" si="24"/>
        <v>1.2005839415700388E-2</v>
      </c>
      <c r="L16" s="47">
        <f t="shared" si="24"/>
        <v>1.1243620560555013E-2</v>
      </c>
      <c r="M16" s="47">
        <f t="shared" si="24"/>
        <v>1.1019649030799331E-2</v>
      </c>
      <c r="N16" s="47">
        <f t="shared" si="24"/>
        <v>1.0865578581443174E-2</v>
      </c>
    </row>
    <row r="17" spans="1:15" x14ac:dyDescent="0.3">
      <c r="A17" s="9" t="s">
        <v>141</v>
      </c>
      <c r="B17" s="83">
        <f>+B48+B79+B110+B141+B162+B197+B218</f>
        <v>3011</v>
      </c>
      <c r="C17" s="83">
        <f t="shared" ref="C17:N17" si="25">+C48+C79+C110+C141+C162+C197+C218</f>
        <v>3520</v>
      </c>
      <c r="D17" s="83">
        <f t="shared" si="25"/>
        <v>3989</v>
      </c>
      <c r="E17" s="83">
        <f t="shared" si="25"/>
        <v>4454</v>
      </c>
      <c r="F17" s="83">
        <f t="shared" si="25"/>
        <v>4744</v>
      </c>
      <c r="G17" s="83">
        <f t="shared" si="25"/>
        <v>4866</v>
      </c>
      <c r="H17" s="83">
        <f t="shared" si="25"/>
        <v>4904</v>
      </c>
      <c r="I17" s="83">
        <f t="shared" si="25"/>
        <v>4791</v>
      </c>
      <c r="J17" s="83">
        <f t="shared" si="25"/>
        <v>2115.1245461279782</v>
      </c>
      <c r="K17" s="83">
        <f t="shared" si="25"/>
        <v>3052.8657995242361</v>
      </c>
      <c r="L17" s="83">
        <f t="shared" si="25"/>
        <v>2820.6206675926019</v>
      </c>
      <c r="M17" s="83">
        <f t="shared" si="25"/>
        <v>3157.6953118708102</v>
      </c>
      <c r="N17" s="83">
        <f t="shared" si="25"/>
        <v>3384.3356828989149</v>
      </c>
      <c r="O17" t="s">
        <v>147</v>
      </c>
    </row>
    <row r="18" spans="1:15" x14ac:dyDescent="0.3">
      <c r="A18" s="42" t="s">
        <v>129</v>
      </c>
      <c r="B18" s="47" t="str">
        <f t="shared" ref="B18:H18" si="26">+IFERROR(B17/A17-1,"nm")</f>
        <v>nm</v>
      </c>
      <c r="C18" s="47">
        <f t="shared" si="26"/>
        <v>0.16904682829624718</v>
      </c>
      <c r="D18" s="47">
        <f t="shared" si="26"/>
        <v>0.13323863636363642</v>
      </c>
      <c r="E18" s="47">
        <f t="shared" si="26"/>
        <v>0.11657056906492858</v>
      </c>
      <c r="F18" s="47">
        <f t="shared" si="26"/>
        <v>6.5110013471037176E-2</v>
      </c>
      <c r="G18" s="47">
        <f t="shared" si="26"/>
        <v>2.5716694772343951E-2</v>
      </c>
      <c r="H18" s="47">
        <f t="shared" si="26"/>
        <v>7.8092889436909285E-3</v>
      </c>
      <c r="I18" s="47">
        <f>+IFERROR(I17/H17-1,"nm")</f>
        <v>-2.3042414355628038E-2</v>
      </c>
      <c r="J18" s="47">
        <f t="shared" ref="J18:N18" si="27">+IFERROR(J17/I17-1,"nm")</f>
        <v>-0.55852128029054926</v>
      </c>
      <c r="K18" s="47">
        <f t="shared" si="27"/>
        <v>0.44335037154805867</v>
      </c>
      <c r="L18" s="47">
        <f t="shared" si="27"/>
        <v>-7.6074464841470513E-2</v>
      </c>
      <c r="M18" s="47">
        <f t="shared" si="27"/>
        <v>0.11950371354468636</v>
      </c>
      <c r="N18" s="47">
        <f t="shared" si="27"/>
        <v>7.1773983441685951E-2</v>
      </c>
    </row>
    <row r="19" spans="1:15" x14ac:dyDescent="0.3">
      <c r="A19" s="42" t="s">
        <v>133</v>
      </c>
      <c r="B19" s="47">
        <f>+IFERROR(B17/B$3,"nm")</f>
        <v>9.8395477271984569E-2</v>
      </c>
      <c r="C19" s="47">
        <f t="shared" ref="C19:I19" si="28">+IFERROR(C17/C$3,"nm")</f>
        <v>0.10872251050160613</v>
      </c>
      <c r="D19" s="47">
        <f t="shared" si="28"/>
        <v>0.11612809315866085</v>
      </c>
      <c r="E19" s="47">
        <f t="shared" si="28"/>
        <v>0.12237272302662307</v>
      </c>
      <c r="F19" s="47">
        <f t="shared" si="28"/>
        <v>0.1212771940588491</v>
      </c>
      <c r="G19" s="47">
        <f t="shared" si="28"/>
        <v>0.13009651632222013</v>
      </c>
      <c r="H19" s="47">
        <f t="shared" si="28"/>
        <v>0.11010822219228523</v>
      </c>
      <c r="I19" s="47">
        <f t="shared" si="28"/>
        <v>0.10256904303147078</v>
      </c>
      <c r="J19" s="47">
        <f t="shared" ref="J19:N19" si="29">+IFERROR(J17/J$3,"nm")</f>
        <v>4.257362702658616E-2</v>
      </c>
      <c r="K19" s="47">
        <f t="shared" si="29"/>
        <v>5.7413551269480001E-2</v>
      </c>
      <c r="L19" s="47">
        <f t="shared" si="29"/>
        <v>4.912229539349048E-2</v>
      </c>
      <c r="M19" s="47">
        <f t="shared" si="29"/>
        <v>5.0584161824847304E-2</v>
      </c>
      <c r="N19" s="47">
        <f t="shared" si="29"/>
        <v>4.9544259758029688E-2</v>
      </c>
    </row>
    <row r="20" spans="1:15" x14ac:dyDescent="0.3">
      <c r="A20" s="43" t="str">
        <f>+Historicals!A107</f>
        <v>North America</v>
      </c>
      <c r="B20" s="43"/>
      <c r="C20" s="43"/>
      <c r="D20" s="43"/>
      <c r="E20" s="43"/>
      <c r="F20" s="43"/>
      <c r="G20" s="43"/>
      <c r="H20" s="43"/>
      <c r="I20" s="43"/>
      <c r="J20" s="39"/>
      <c r="K20" s="39"/>
      <c r="L20" s="39"/>
      <c r="M20" s="39"/>
      <c r="N20" s="39"/>
    </row>
    <row r="21" spans="1:15" x14ac:dyDescent="0.3">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19616.93</v>
      </c>
      <c r="K21" s="9">
        <f t="shared" ref="K21:N21" si="30">+SUM(K23+K27+K31)</f>
        <v>20995.477700000003</v>
      </c>
      <c r="L21" s="9">
        <f t="shared" si="30"/>
        <v>22504.065893000006</v>
      </c>
      <c r="M21" s="9">
        <f t="shared" si="30"/>
        <v>24161.026783370005</v>
      </c>
      <c r="N21" s="9">
        <f t="shared" si="30"/>
        <v>25988.25640187331</v>
      </c>
    </row>
    <row r="22" spans="1:15" x14ac:dyDescent="0.3">
      <c r="A22" s="44" t="s">
        <v>129</v>
      </c>
      <c r="B22" s="47" t="str">
        <f t="shared" ref="B22:H22" si="31">+IFERROR(B21/A21-1,"nm")</f>
        <v>nm</v>
      </c>
      <c r="C22" s="47">
        <f t="shared" si="31"/>
        <v>7.4526928675400228E-2</v>
      </c>
      <c r="D22" s="47">
        <f t="shared" si="31"/>
        <v>3.0615009482525046E-2</v>
      </c>
      <c r="E22" s="47">
        <f t="shared" si="31"/>
        <v>-2.372502628811779E-2</v>
      </c>
      <c r="F22" s="47">
        <f t="shared" si="31"/>
        <v>7.0481319421070276E-2</v>
      </c>
      <c r="G22" s="47">
        <f t="shared" si="31"/>
        <v>-8.9171173437303519E-2</v>
      </c>
      <c r="H22" s="47">
        <f t="shared" si="31"/>
        <v>0.18606738470035911</v>
      </c>
      <c r="I22" s="47">
        <f>+IFERROR(I21/H21-1,"nm")</f>
        <v>6.8339251411607238E-2</v>
      </c>
      <c r="J22" s="47">
        <f t="shared" ref="J22:N22" si="32">+IFERROR(J21/I21-1,"nm")</f>
        <v>6.8867760039230674E-2</v>
      </c>
      <c r="K22" s="47">
        <f t="shared" si="32"/>
        <v>7.0273365914034658E-2</v>
      </c>
      <c r="L22" s="47">
        <f t="shared" si="32"/>
        <v>7.1853006373844064E-2</v>
      </c>
      <c r="M22" s="47">
        <f t="shared" si="32"/>
        <v>7.3629400937961442E-2</v>
      </c>
      <c r="N22" s="47">
        <f t="shared" si="32"/>
        <v>7.5627150902418672E-2</v>
      </c>
    </row>
    <row r="23" spans="1:15" x14ac:dyDescent="0.3">
      <c r="A23" s="45"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12839.4</v>
      </c>
      <c r="K23" s="3">
        <f t="shared" ref="K23:N23" si="33">+J23*(1+K24)</f>
        <v>13481.37</v>
      </c>
      <c r="L23" s="3">
        <f t="shared" si="33"/>
        <v>14155.438500000002</v>
      </c>
      <c r="M23" s="3">
        <f t="shared" si="33"/>
        <v>14863.210425000003</v>
      </c>
      <c r="N23" s="3">
        <f t="shared" si="33"/>
        <v>15606.370946250005</v>
      </c>
    </row>
    <row r="24" spans="1:15" x14ac:dyDescent="0.3">
      <c r="A24" s="44" t="s">
        <v>129</v>
      </c>
      <c r="B24" s="47" t="str">
        <f t="shared" ref="B24" si="34">+IFERROR(B23/A23-1,"nm")</f>
        <v>nm</v>
      </c>
      <c r="C24" s="47">
        <f t="shared" ref="C24" si="35">+IFERROR(C23/B23-1,"nm")</f>
        <v>9.3228309428638578E-2</v>
      </c>
      <c r="D24" s="47">
        <f t="shared" ref="D24" si="36">+IFERROR(D23/C23-1,"nm")</f>
        <v>4.1402301322722934E-2</v>
      </c>
      <c r="E24" s="47">
        <f t="shared" ref="E24" si="37">+IFERROR(E23/D23-1,"nm")</f>
        <v>-3.7381247418422192E-2</v>
      </c>
      <c r="F24" s="47">
        <f t="shared" ref="F24" si="38">+IFERROR(F23/E23-1,"nm")</f>
        <v>7.755846384895948E-2</v>
      </c>
      <c r="G24" s="47">
        <f t="shared" ref="G24" si="39">+IFERROR(G23/F23-1,"nm")</f>
        <v>-7.1279243404678949E-2</v>
      </c>
      <c r="H24" s="47">
        <f t="shared" ref="H24" si="40">+IFERROR(H23/G23-1,"nm")</f>
        <v>0.24815092721620746</v>
      </c>
      <c r="I24" s="47">
        <f>+IFERROR(I23/H23-1,"nm")</f>
        <v>5.0154586052902683E-2</v>
      </c>
      <c r="J24" s="47">
        <f>+J25+J26</f>
        <v>0.05</v>
      </c>
      <c r="K24" s="47">
        <f t="shared" ref="K24:N24" si="41">+K25+K26</f>
        <v>0.05</v>
      </c>
      <c r="L24" s="47">
        <f t="shared" si="41"/>
        <v>0.05</v>
      </c>
      <c r="M24" s="47">
        <f t="shared" si="41"/>
        <v>0.05</v>
      </c>
      <c r="N24" s="47">
        <f t="shared" si="41"/>
        <v>0.05</v>
      </c>
    </row>
    <row r="25" spans="1:15" x14ac:dyDescent="0.3">
      <c r="A25" s="44" t="s">
        <v>137</v>
      </c>
      <c r="B25" s="47">
        <f>+Historicals!B180</f>
        <v>0.14000000000000001</v>
      </c>
      <c r="C25" s="47">
        <f>+Historicals!C180</f>
        <v>0.1</v>
      </c>
      <c r="D25" s="47">
        <f>+Historicals!D180</f>
        <v>0.04</v>
      </c>
      <c r="E25" s="47">
        <f>+Historicals!E180</f>
        <v>-0.04</v>
      </c>
      <c r="F25" s="47">
        <f>+Historicals!F180</f>
        <v>0.08</v>
      </c>
      <c r="G25" s="47">
        <f>+Historicals!G180</f>
        <v>-7.0000000000000007E-2</v>
      </c>
      <c r="H25" s="47">
        <f>+Historicals!H180</f>
        <v>0.25</v>
      </c>
      <c r="I25" s="47">
        <f>+Historicals!I180</f>
        <v>0.05</v>
      </c>
      <c r="J25" s="84">
        <f>I25</f>
        <v>0.05</v>
      </c>
      <c r="K25" s="84">
        <f t="shared" ref="K25:N26" si="42">+J25</f>
        <v>0.05</v>
      </c>
      <c r="L25" s="84">
        <f t="shared" si="42"/>
        <v>0.05</v>
      </c>
      <c r="M25" s="84">
        <f t="shared" si="42"/>
        <v>0.05</v>
      </c>
      <c r="N25" s="84">
        <f t="shared" si="42"/>
        <v>0.05</v>
      </c>
    </row>
    <row r="26" spans="1:15" x14ac:dyDescent="0.3">
      <c r="A26" s="44" t="s">
        <v>138</v>
      </c>
      <c r="B26" s="47" t="str">
        <f t="shared" ref="B26:H26" si="43">+IFERROR(B24-B25,"nm")</f>
        <v>nm</v>
      </c>
      <c r="C26" s="47">
        <f t="shared" si="43"/>
        <v>-6.7716905713614273E-3</v>
      </c>
      <c r="D26" s="47">
        <f t="shared" si="43"/>
        <v>1.4023013227229333E-3</v>
      </c>
      <c r="E26" s="47">
        <f t="shared" si="43"/>
        <v>2.6187525815778087E-3</v>
      </c>
      <c r="F26" s="47">
        <f t="shared" si="43"/>
        <v>-2.4415361510405215E-3</v>
      </c>
      <c r="G26" s="47">
        <f t="shared" si="43"/>
        <v>-1.2792434046789425E-3</v>
      </c>
      <c r="H26" s="47">
        <f t="shared" si="43"/>
        <v>-1.849072783792538E-3</v>
      </c>
      <c r="I26" s="47">
        <f>+IFERROR(I24-I25,"nm")</f>
        <v>1.5458605290268046E-4</v>
      </c>
      <c r="J26" s="49">
        <v>0</v>
      </c>
      <c r="K26" s="49">
        <f t="shared" si="42"/>
        <v>0</v>
      </c>
      <c r="L26" s="49">
        <f t="shared" si="42"/>
        <v>0</v>
      </c>
      <c r="M26" s="49">
        <f t="shared" si="42"/>
        <v>0</v>
      </c>
      <c r="N26" s="49">
        <f t="shared" si="42"/>
        <v>0</v>
      </c>
    </row>
    <row r="27" spans="1:15" x14ac:dyDescent="0.3">
      <c r="A27" s="45"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5986.2800000000007</v>
      </c>
      <c r="K27" s="3">
        <f t="shared" ref="K27" si="44">+J27*(1+K28)</f>
        <v>6525.0452000000014</v>
      </c>
      <c r="L27" s="3">
        <f t="shared" ref="L27" si="45">+K27*(1+L28)</f>
        <v>7112.2992680000025</v>
      </c>
      <c r="M27" s="3">
        <f t="shared" ref="M27" si="46">+L27*(1+M28)</f>
        <v>7752.4062021200034</v>
      </c>
      <c r="N27" s="3">
        <f t="shared" ref="N27" si="47">+M27*(1+N28)</f>
        <v>8450.1227603108036</v>
      </c>
    </row>
    <row r="28" spans="1:15" x14ac:dyDescent="0.3">
      <c r="A28" s="44" t="s">
        <v>129</v>
      </c>
      <c r="B28" s="47" t="str">
        <f t="shared" ref="B28" si="48">+IFERROR(B27/A27-1,"nm")</f>
        <v>nm</v>
      </c>
      <c r="C28" s="47">
        <f t="shared" ref="C28" si="49">+IFERROR(C27/B27-1,"nm")</f>
        <v>7.6190476190476142E-2</v>
      </c>
      <c r="D28" s="47">
        <f t="shared" ref="D28" si="50">+IFERROR(D27/C27-1,"nm")</f>
        <v>2.9498525073746285E-2</v>
      </c>
      <c r="E28" s="47">
        <f t="shared" ref="E28" si="51">+IFERROR(E27/D27-1,"nm")</f>
        <v>1.0642652476463343E-2</v>
      </c>
      <c r="F28" s="47">
        <f t="shared" ref="F28" si="52">+IFERROR(F27/E27-1,"nm")</f>
        <v>6.5208586472256025E-2</v>
      </c>
      <c r="G28" s="47">
        <f t="shared" ref="G28" si="53">+IFERROR(G27/F27-1,"nm")</f>
        <v>-0.11806083650190113</v>
      </c>
      <c r="H28" s="47">
        <f t="shared" ref="H28" si="54">+IFERROR(H27/G27-1,"nm")</f>
        <v>8.3854278939426541E-2</v>
      </c>
      <c r="I28" s="47">
        <f>+IFERROR(I27/H27-1,"nm")</f>
        <v>9.2283214001591007E-2</v>
      </c>
      <c r="J28" s="47">
        <f>+J29+J30</f>
        <v>0.09</v>
      </c>
      <c r="K28" s="47">
        <f t="shared" ref="K28" si="55">+K29+K30</f>
        <v>0.09</v>
      </c>
      <c r="L28" s="47">
        <f t="shared" ref="L28" si="56">+L29+L30</f>
        <v>0.09</v>
      </c>
      <c r="M28" s="47">
        <f t="shared" ref="M28" si="57">+M29+M30</f>
        <v>0.09</v>
      </c>
      <c r="N28" s="47">
        <f t="shared" ref="N28" si="58">+N29+N30</f>
        <v>0.09</v>
      </c>
    </row>
    <row r="29" spans="1:15" x14ac:dyDescent="0.3">
      <c r="A29" s="44" t="s">
        <v>137</v>
      </c>
      <c r="B29" s="47">
        <f>+Historicals!B184</f>
        <v>0.185</v>
      </c>
      <c r="C29" s="47">
        <f>+Historicals!C184</f>
        <v>0.23499999999999999</v>
      </c>
      <c r="D29" s="47">
        <f>+Historicals!D184</f>
        <v>0.08</v>
      </c>
      <c r="E29" s="47">
        <f>+Historicals!E184</f>
        <v>0.06</v>
      </c>
      <c r="F29" s="47">
        <f>+Historicals!F184</f>
        <v>0.12</v>
      </c>
      <c r="G29" s="47">
        <f>+Historicals!G184</f>
        <v>-0.03</v>
      </c>
      <c r="H29" s="47">
        <f>+Historicals!H184</f>
        <v>0.13</v>
      </c>
      <c r="I29" s="47">
        <f>+Historicals!I184</f>
        <v>0.09</v>
      </c>
      <c r="J29" s="84">
        <f>I29</f>
        <v>0.09</v>
      </c>
      <c r="K29" s="84">
        <f t="shared" ref="K29:N29" si="59">+J29</f>
        <v>0.09</v>
      </c>
      <c r="L29" s="84">
        <f t="shared" si="59"/>
        <v>0.09</v>
      </c>
      <c r="M29" s="84">
        <f t="shared" si="59"/>
        <v>0.09</v>
      </c>
      <c r="N29" s="84">
        <f t="shared" si="59"/>
        <v>0.09</v>
      </c>
    </row>
    <row r="30" spans="1:15" x14ac:dyDescent="0.3">
      <c r="A30" s="44" t="s">
        <v>138</v>
      </c>
      <c r="B30" s="47" t="str">
        <f t="shared" ref="B30" si="60">+IFERROR(B28-B29,"nm")</f>
        <v>nm</v>
      </c>
      <c r="C30" s="47">
        <f t="shared" ref="C30" si="61">+IFERROR(C28-C29,"nm")</f>
        <v>-0.15880952380952384</v>
      </c>
      <c r="D30" s="47">
        <f t="shared" ref="D30" si="62">+IFERROR(D28-D29,"nm")</f>
        <v>-5.0501474926253717E-2</v>
      </c>
      <c r="E30" s="47">
        <f t="shared" ref="E30" si="63">+IFERROR(E28-E29,"nm")</f>
        <v>-4.9357347523536654E-2</v>
      </c>
      <c r="F30" s="47">
        <f t="shared" ref="F30" si="64">+IFERROR(F28-F29,"nm")</f>
        <v>-5.4791413527743971E-2</v>
      </c>
      <c r="G30" s="47">
        <f t="shared" ref="G30" si="65">+IFERROR(G28-G29,"nm")</f>
        <v>-8.8060836501901135E-2</v>
      </c>
      <c r="H30" s="47">
        <f t="shared" ref="H30" si="66">+IFERROR(H28-H29,"nm")</f>
        <v>-4.6145721060573464E-2</v>
      </c>
      <c r="I30" s="47">
        <f>+IFERROR(I28-I29,"nm")</f>
        <v>2.2832140015910107E-3</v>
      </c>
      <c r="J30" s="49">
        <v>0</v>
      </c>
      <c r="K30" s="49">
        <f t="shared" ref="K30:N30" si="67">+J30</f>
        <v>0</v>
      </c>
      <c r="L30" s="49">
        <f t="shared" si="67"/>
        <v>0</v>
      </c>
      <c r="M30" s="49">
        <f t="shared" si="67"/>
        <v>0</v>
      </c>
      <c r="N30" s="49">
        <f t="shared" si="67"/>
        <v>0</v>
      </c>
    </row>
    <row r="31" spans="1:15" x14ac:dyDescent="0.3">
      <c r="A31" s="45"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791.25</v>
      </c>
      <c r="K31" s="3">
        <f t="shared" ref="K31" si="68">+J31*(1+K32)</f>
        <v>989.0625</v>
      </c>
      <c r="L31" s="3">
        <f t="shared" ref="L31" si="69">+K31*(1+L32)</f>
        <v>1236.328125</v>
      </c>
      <c r="M31" s="3">
        <f t="shared" ref="M31" si="70">+L31*(1+M32)</f>
        <v>1545.41015625</v>
      </c>
      <c r="N31" s="3">
        <f t="shared" ref="N31" si="71">+M31*(1+N32)</f>
        <v>1931.7626953125</v>
      </c>
    </row>
    <row r="32" spans="1:15" x14ac:dyDescent="0.3">
      <c r="A32" s="44" t="s">
        <v>129</v>
      </c>
      <c r="B32" s="47" t="str">
        <f t="shared" ref="B32" si="72">+IFERROR(B31/A31-1,"nm")</f>
        <v>nm</v>
      </c>
      <c r="C32" s="47">
        <f t="shared" ref="C32" si="73">+IFERROR(C31/B31-1,"nm")</f>
        <v>-0.12742718446601942</v>
      </c>
      <c r="D32" s="47">
        <f t="shared" ref="D32" si="74">+IFERROR(D31/C31-1,"nm")</f>
        <v>-0.10152990264255912</v>
      </c>
      <c r="E32" s="47">
        <f t="shared" ref="E32" si="75">+IFERROR(E31/D31-1,"nm")</f>
        <v>-7.8947368421052655E-2</v>
      </c>
      <c r="F32" s="47">
        <f t="shared" ref="F32" si="76">+IFERROR(F31/E31-1,"nm")</f>
        <v>3.3613445378151141E-3</v>
      </c>
      <c r="G32" s="47">
        <f t="shared" ref="G32" si="77">+IFERROR(G31/F31-1,"nm")</f>
        <v>-0.13567839195979903</v>
      </c>
      <c r="H32" s="47">
        <f t="shared" ref="H32" si="78">+IFERROR(H31/G31-1,"nm")</f>
        <v>-1.744186046511631E-2</v>
      </c>
      <c r="I32" s="47">
        <f>+IFERROR(I31/H31-1,"nm")</f>
        <v>0.24852071005917153</v>
      </c>
      <c r="J32" s="47">
        <f>+J33+J34</f>
        <v>0.25</v>
      </c>
      <c r="K32" s="47">
        <f t="shared" ref="K32" si="79">+K33+K34</f>
        <v>0.25</v>
      </c>
      <c r="L32" s="47">
        <f t="shared" ref="L32" si="80">+L33+L34</f>
        <v>0.25</v>
      </c>
      <c r="M32" s="47">
        <f t="shared" ref="M32" si="81">+M33+M34</f>
        <v>0.25</v>
      </c>
      <c r="N32" s="47">
        <f t="shared" ref="N32" si="82">+N33+N34</f>
        <v>0.25</v>
      </c>
    </row>
    <row r="33" spans="1:14" x14ac:dyDescent="0.3">
      <c r="A33" s="44" t="s">
        <v>137</v>
      </c>
      <c r="B33" s="47">
        <f>+Historicals!B182</f>
        <v>-0.05</v>
      </c>
      <c r="C33" s="47">
        <f>+Historicals!C182</f>
        <v>-0.13</v>
      </c>
      <c r="D33" s="47">
        <f>+Historicals!D182</f>
        <v>-0.1</v>
      </c>
      <c r="E33" s="47">
        <f>+Historicals!E182</f>
        <v>-0.08</v>
      </c>
      <c r="F33" s="47">
        <f>+Historicals!F182</f>
        <v>0</v>
      </c>
      <c r="G33" s="47">
        <f>+Historicals!G182</f>
        <v>-0.14000000000000001</v>
      </c>
      <c r="H33" s="47">
        <f>+Historicals!H182</f>
        <v>-0.02</v>
      </c>
      <c r="I33" s="47">
        <f>+Historicals!I182</f>
        <v>0.25</v>
      </c>
      <c r="J33" s="84">
        <f>I33</f>
        <v>0.25</v>
      </c>
      <c r="K33" s="84">
        <f t="shared" ref="K33:N33" si="83">+J33</f>
        <v>0.25</v>
      </c>
      <c r="L33" s="84">
        <f t="shared" si="83"/>
        <v>0.25</v>
      </c>
      <c r="M33" s="84">
        <f t="shared" si="83"/>
        <v>0.25</v>
      </c>
      <c r="N33" s="84">
        <f t="shared" si="83"/>
        <v>0.25</v>
      </c>
    </row>
    <row r="34" spans="1:14" x14ac:dyDescent="0.3">
      <c r="A34" s="44" t="s">
        <v>138</v>
      </c>
      <c r="B34" s="47" t="str">
        <f t="shared" ref="B34" si="84">+IFERROR(B32-B33,"nm")</f>
        <v>nm</v>
      </c>
      <c r="C34" s="47">
        <f t="shared" ref="C34" si="85">+IFERROR(C32-C33,"nm")</f>
        <v>2.572815533980588E-3</v>
      </c>
      <c r="D34" s="47">
        <f t="shared" ref="D34" si="86">+IFERROR(D32-D33,"nm")</f>
        <v>-1.5299026425591167E-3</v>
      </c>
      <c r="E34" s="47">
        <f t="shared" ref="E34" si="87">+IFERROR(E32-E33,"nm")</f>
        <v>1.0526315789473467E-3</v>
      </c>
      <c r="F34" s="47">
        <f t="shared" ref="F34" si="88">+IFERROR(F32-F33,"nm")</f>
        <v>3.3613445378151141E-3</v>
      </c>
      <c r="G34" s="47">
        <f t="shared" ref="G34" si="89">+IFERROR(G32-G33,"nm")</f>
        <v>4.321608040200986E-3</v>
      </c>
      <c r="H34" s="47">
        <f t="shared" ref="H34" si="90">+IFERROR(H32-H33,"nm")</f>
        <v>2.5581395348836904E-3</v>
      </c>
      <c r="I34" s="47">
        <f>+IFERROR(I32-I33,"nm")</f>
        <v>-1.4792899408284654E-3</v>
      </c>
      <c r="J34" s="49">
        <v>0</v>
      </c>
      <c r="K34" s="49">
        <f t="shared" ref="K34:N34" si="91">+J34</f>
        <v>0</v>
      </c>
      <c r="L34" s="49">
        <f t="shared" si="91"/>
        <v>0</v>
      </c>
      <c r="M34" s="49">
        <f t="shared" si="91"/>
        <v>0</v>
      </c>
      <c r="N34" s="49">
        <f t="shared" si="91"/>
        <v>0</v>
      </c>
    </row>
    <row r="35" spans="1:14" x14ac:dyDescent="0.3">
      <c r="A35" s="9" t="s">
        <v>130</v>
      </c>
      <c r="B35" s="48">
        <f t="shared" ref="B35:H35" si="92">+B42+B38</f>
        <v>3766</v>
      </c>
      <c r="C35" s="48">
        <f t="shared" si="92"/>
        <v>3896</v>
      </c>
      <c r="D35" s="48">
        <f t="shared" si="92"/>
        <v>4015</v>
      </c>
      <c r="E35" s="48">
        <f t="shared" si="92"/>
        <v>3760</v>
      </c>
      <c r="F35" s="48">
        <f t="shared" si="92"/>
        <v>4074</v>
      </c>
      <c r="G35" s="48">
        <f t="shared" si="92"/>
        <v>3047</v>
      </c>
      <c r="H35" s="48">
        <f t="shared" si="92"/>
        <v>5219</v>
      </c>
      <c r="I35" s="48">
        <f>+I42+I38</f>
        <v>5238</v>
      </c>
      <c r="J35" s="48">
        <f>+J21*J37</f>
        <v>5598.7293270854898</v>
      </c>
      <c r="K35" s="48">
        <f t="shared" ref="K35:N35" si="93">+K21*K37</f>
        <v>5992.1708817414046</v>
      </c>
      <c r="L35" s="48">
        <f t="shared" si="93"/>
        <v>6422.7263743003332</v>
      </c>
      <c r="M35" s="48">
        <f t="shared" si="93"/>
        <v>6895.6278696285117</v>
      </c>
      <c r="N35" s="48">
        <f t="shared" si="93"/>
        <v>7417.1245590918315</v>
      </c>
    </row>
    <row r="36" spans="1:14" x14ac:dyDescent="0.3">
      <c r="A36" s="46" t="s">
        <v>129</v>
      </c>
      <c r="B36" s="47" t="str">
        <f t="shared" ref="B36" si="94">+IFERROR(B35/A35-1,"nm")</f>
        <v>nm</v>
      </c>
      <c r="C36" s="47">
        <f t="shared" ref="C36" si="95">+IFERROR(C35/B35-1,"nm")</f>
        <v>3.4519383961763239E-2</v>
      </c>
      <c r="D36" s="47">
        <f t="shared" ref="D36" si="96">+IFERROR(D35/C35-1,"nm")</f>
        <v>3.0544147843942548E-2</v>
      </c>
      <c r="E36" s="47">
        <f t="shared" ref="E36" si="97">+IFERROR(E35/D35-1,"nm")</f>
        <v>-6.3511830635118338E-2</v>
      </c>
      <c r="F36" s="47">
        <f t="shared" ref="F36" si="98">+IFERROR(F35/E35-1,"nm")</f>
        <v>8.3510638297872308E-2</v>
      </c>
      <c r="G36" s="47">
        <f t="shared" ref="G36" si="99">+IFERROR(G35/F35-1,"nm")</f>
        <v>-0.25208640157093765</v>
      </c>
      <c r="H36" s="47">
        <f t="shared" ref="H36" si="100">+IFERROR(H35/G35-1,"nm")</f>
        <v>0.71283229405973092</v>
      </c>
      <c r="I36" s="47">
        <f>+IFERROR(I35/H35-1,"nm")</f>
        <v>3.6405441655489312E-3</v>
      </c>
      <c r="J36" s="47">
        <f t="shared" ref="J36:N36" si="101">+IFERROR(J35/I35-1,"nm")</f>
        <v>6.8867760039230674E-2</v>
      </c>
      <c r="K36" s="47">
        <f t="shared" si="101"/>
        <v>7.0273365914034436E-2</v>
      </c>
      <c r="L36" s="47">
        <f t="shared" si="101"/>
        <v>7.1853006373844064E-2</v>
      </c>
      <c r="M36" s="47">
        <f t="shared" si="101"/>
        <v>7.3629400937961442E-2</v>
      </c>
      <c r="N36" s="47">
        <f t="shared" si="101"/>
        <v>7.5627150902418672E-2</v>
      </c>
    </row>
    <row r="37" spans="1:14" x14ac:dyDescent="0.3">
      <c r="A37" s="46" t="s">
        <v>131</v>
      </c>
      <c r="B37" s="47">
        <f t="shared" ref="B37:H37" si="102">+IFERROR(B35/B$21,"nm")</f>
        <v>0.27409024745269289</v>
      </c>
      <c r="C37" s="47">
        <f t="shared" si="102"/>
        <v>0.26388512598211866</v>
      </c>
      <c r="D37" s="47">
        <f t="shared" si="102"/>
        <v>0.26386698212407994</v>
      </c>
      <c r="E37" s="47">
        <f t="shared" si="102"/>
        <v>0.25311342982160889</v>
      </c>
      <c r="F37" s="47">
        <f t="shared" si="102"/>
        <v>0.25619418941013711</v>
      </c>
      <c r="G37" s="47">
        <f t="shared" si="102"/>
        <v>0.2103700635183651</v>
      </c>
      <c r="H37" s="47">
        <f t="shared" si="102"/>
        <v>0.30380115256999823</v>
      </c>
      <c r="I37" s="47">
        <f>+IFERROR(I35/I$21,"nm")</f>
        <v>0.28540293140086087</v>
      </c>
      <c r="J37" s="84">
        <f>+I37</f>
        <v>0.28540293140086087</v>
      </c>
      <c r="K37" s="84">
        <f t="shared" ref="K37:N37" si="103">+J37</f>
        <v>0.28540293140086087</v>
      </c>
      <c r="L37" s="84">
        <f t="shared" si="103"/>
        <v>0.28540293140086087</v>
      </c>
      <c r="M37" s="84">
        <f t="shared" si="103"/>
        <v>0.28540293140086087</v>
      </c>
      <c r="N37" s="84">
        <f t="shared" si="103"/>
        <v>0.28540293140086087</v>
      </c>
    </row>
    <row r="38" spans="1:14" x14ac:dyDescent="0.3">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8">
        <f>+J41*J48</f>
        <v>132.5396022448646</v>
      </c>
      <c r="K38" s="48">
        <f t="shared" ref="K38:N38" si="104">+K41*K48</f>
        <v>141.85360621151858</v>
      </c>
      <c r="L38" s="48">
        <f t="shared" si="104"/>
        <v>152.04621428278762</v>
      </c>
      <c r="M38" s="48">
        <f t="shared" si="104"/>
        <v>163.24128595531417</v>
      </c>
      <c r="N38" s="48">
        <f t="shared" si="104"/>
        <v>175.5867593217616</v>
      </c>
    </row>
    <row r="39" spans="1:14" x14ac:dyDescent="0.3">
      <c r="A39" s="46" t="s">
        <v>129</v>
      </c>
      <c r="B39" s="47" t="str">
        <f t="shared" ref="B39" si="105">+IFERROR(B38/A38-1,"nm")</f>
        <v>nm</v>
      </c>
      <c r="C39" s="47">
        <f t="shared" ref="C39" si="106">+IFERROR(C38/B38-1,"nm")</f>
        <v>9.9173553719008156E-2</v>
      </c>
      <c r="D39" s="47">
        <f t="shared" ref="D39" si="107">+IFERROR(D38/C38-1,"nm")</f>
        <v>5.2631578947368363E-2</v>
      </c>
      <c r="E39" s="47">
        <f t="shared" ref="E39" si="108">+IFERROR(E38/D38-1,"nm")</f>
        <v>0.14285714285714279</v>
      </c>
      <c r="F39" s="47">
        <f t="shared" ref="F39" si="109">+IFERROR(F38/E38-1,"nm")</f>
        <v>-6.8749999999999978E-2</v>
      </c>
      <c r="G39" s="47">
        <f t="shared" ref="G39" si="110">+IFERROR(G38/F38-1,"nm")</f>
        <v>-6.7114093959731447E-3</v>
      </c>
      <c r="H39" s="47">
        <f t="shared" ref="H39" si="111">+IFERROR(H38/G38-1,"nm")</f>
        <v>-0.1216216216216216</v>
      </c>
      <c r="I39" s="47">
        <f>+IFERROR(I38/H38-1,"nm")</f>
        <v>-4.6153846153846101E-2</v>
      </c>
      <c r="J39" s="47">
        <f t="shared" ref="J39" si="112">+IFERROR(J38/I38-1,"nm")</f>
        <v>6.8867760039230674E-2</v>
      </c>
      <c r="K39" s="47">
        <f t="shared" ref="K39" si="113">+IFERROR(K38/J38-1,"nm")</f>
        <v>7.0273365914034658E-2</v>
      </c>
      <c r="L39" s="47">
        <f t="shared" ref="L39" si="114">+IFERROR(L38/K38-1,"nm")</f>
        <v>7.1853006373844286E-2</v>
      </c>
      <c r="M39" s="47">
        <f t="shared" ref="M39" si="115">+IFERROR(M38/L38-1,"nm")</f>
        <v>7.3629400937961442E-2</v>
      </c>
      <c r="N39" s="47">
        <f t="shared" ref="N39" si="116">+IFERROR(N38/M38-1,"nm")</f>
        <v>7.5627150902418672E-2</v>
      </c>
    </row>
    <row r="40" spans="1:14" x14ac:dyDescent="0.3">
      <c r="A40" s="46" t="s">
        <v>133</v>
      </c>
      <c r="B40" s="47">
        <f t="shared" ref="B40:H40" si="117">+IFERROR(B38/B$21,"nm")</f>
        <v>8.8064046579330417E-3</v>
      </c>
      <c r="C40" s="47">
        <f t="shared" si="117"/>
        <v>9.0083988079111346E-3</v>
      </c>
      <c r="D40" s="47">
        <f t="shared" si="117"/>
        <v>9.2008412197686646E-3</v>
      </c>
      <c r="E40" s="47">
        <f t="shared" si="117"/>
        <v>1.0770784247728038E-2</v>
      </c>
      <c r="F40" s="47">
        <f t="shared" si="117"/>
        <v>9.3698905798012821E-3</v>
      </c>
      <c r="G40" s="47">
        <f t="shared" si="117"/>
        <v>1.0218171775752554E-2</v>
      </c>
      <c r="H40" s="47">
        <f t="shared" si="117"/>
        <v>7.5673787764130628E-3</v>
      </c>
      <c r="I40" s="47">
        <f>+IFERROR(I38/I$21,"nm")</f>
        <v>6.7563886013185855E-3</v>
      </c>
      <c r="J40" s="47">
        <f t="shared" ref="J40:N40" si="118">+IFERROR(J38/J$21,"nm")</f>
        <v>6.7563886013185855E-3</v>
      </c>
      <c r="K40" s="47">
        <f t="shared" si="118"/>
        <v>6.7563886013185855E-3</v>
      </c>
      <c r="L40" s="47">
        <f t="shared" si="118"/>
        <v>6.7563886013185864E-3</v>
      </c>
      <c r="M40" s="47">
        <f t="shared" si="118"/>
        <v>6.7563886013185864E-3</v>
      </c>
      <c r="N40" s="47">
        <f t="shared" si="118"/>
        <v>6.7563886013185864E-3</v>
      </c>
    </row>
    <row r="41" spans="1:14" x14ac:dyDescent="0.3">
      <c r="A41" s="46" t="s">
        <v>140</v>
      </c>
      <c r="B41" s="47">
        <f t="shared" ref="B41:H41" si="119">+IFERROR(B38/B48,"nm")</f>
        <v>0.19145569620253164</v>
      </c>
      <c r="C41" s="47">
        <f t="shared" si="119"/>
        <v>0.17924528301886791</v>
      </c>
      <c r="D41" s="47">
        <f t="shared" si="119"/>
        <v>0.17094017094017094</v>
      </c>
      <c r="E41" s="47">
        <f t="shared" si="119"/>
        <v>0.18867924528301888</v>
      </c>
      <c r="F41" s="47">
        <f t="shared" si="119"/>
        <v>0.18304668304668303</v>
      </c>
      <c r="G41" s="47">
        <f t="shared" si="119"/>
        <v>0.22945736434108527</v>
      </c>
      <c r="H41" s="47">
        <f t="shared" si="119"/>
        <v>0.21069692058346839</v>
      </c>
      <c r="I41" s="47">
        <f>+IFERROR(I38/I48,"nm")</f>
        <v>0.19405320813771518</v>
      </c>
      <c r="J41" s="84">
        <f>+I41</f>
        <v>0.19405320813771518</v>
      </c>
      <c r="K41" s="84">
        <f t="shared" ref="K41:N41" si="120">+J41</f>
        <v>0.19405320813771518</v>
      </c>
      <c r="L41" s="84">
        <f t="shared" si="120"/>
        <v>0.19405320813771518</v>
      </c>
      <c r="M41" s="84">
        <f t="shared" si="120"/>
        <v>0.19405320813771518</v>
      </c>
      <c r="N41" s="84">
        <f t="shared" si="120"/>
        <v>0.19405320813771518</v>
      </c>
    </row>
    <row r="42" spans="1:14" x14ac:dyDescent="0.3">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5466.1897248406249</v>
      </c>
      <c r="K42" s="9">
        <f t="shared" ref="K42:N42" si="121">+K35-K38</f>
        <v>5850.3172755298856</v>
      </c>
      <c r="L42" s="9">
        <f t="shared" si="121"/>
        <v>6270.6801600175459</v>
      </c>
      <c r="M42" s="9">
        <f t="shared" si="121"/>
        <v>6732.3865836731975</v>
      </c>
      <c r="N42" s="9">
        <f t="shared" si="121"/>
        <v>7241.5377997700698</v>
      </c>
    </row>
    <row r="43" spans="1:14" x14ac:dyDescent="0.3">
      <c r="A43" s="46" t="s">
        <v>129</v>
      </c>
      <c r="B43" s="47" t="str">
        <f t="shared" ref="B43" si="122">+IFERROR(B42/A42-1,"nm")</f>
        <v>nm</v>
      </c>
      <c r="C43" s="47">
        <f t="shared" ref="C43" si="123">+IFERROR(C42/B42-1,"nm")</f>
        <v>3.2373113854595292E-2</v>
      </c>
      <c r="D43" s="47">
        <f t="shared" ref="D43" si="124">+IFERROR(D42/C42-1,"nm")</f>
        <v>2.9763486579856391E-2</v>
      </c>
      <c r="E43" s="47">
        <f t="shared" ref="E43" si="125">+IFERROR(E42/D42-1,"nm")</f>
        <v>-7.096774193548383E-2</v>
      </c>
      <c r="F43" s="47">
        <f t="shared" ref="F43" si="126">+IFERROR(F42/E42-1,"nm")</f>
        <v>9.0277777777777679E-2</v>
      </c>
      <c r="G43" s="47">
        <f t="shared" ref="G43" si="127">+IFERROR(G42/F42-1,"nm")</f>
        <v>-0.26140127388535028</v>
      </c>
      <c r="H43" s="47">
        <f t="shared" ref="H43" si="128">+IFERROR(H42/G42-1,"nm")</f>
        <v>0.75543290789927564</v>
      </c>
      <c r="I43" s="47">
        <f>+IFERROR(I42/H42-1,"nm")</f>
        <v>4.9125564943997002E-3</v>
      </c>
      <c r="J43" s="47">
        <f t="shared" ref="J43:N43" si="129">+IFERROR(J42/I42-1,"nm")</f>
        <v>6.8867760039230452E-2</v>
      </c>
      <c r="K43" s="47">
        <f t="shared" si="129"/>
        <v>7.0273365914034436E-2</v>
      </c>
      <c r="L43" s="47">
        <f t="shared" si="129"/>
        <v>7.1853006373844286E-2</v>
      </c>
      <c r="M43" s="47">
        <f t="shared" si="129"/>
        <v>7.3629400937961442E-2</v>
      </c>
      <c r="N43" s="47">
        <f t="shared" si="129"/>
        <v>7.5627150902418672E-2</v>
      </c>
    </row>
    <row r="44" spans="1:14" x14ac:dyDescent="0.3">
      <c r="A44" s="46" t="s">
        <v>131</v>
      </c>
      <c r="B44" s="47">
        <f t="shared" ref="B44:H44" si="130">+IFERROR(B42/B$21,"nm")</f>
        <v>0.26528384279475981</v>
      </c>
      <c r="C44" s="47">
        <f t="shared" si="130"/>
        <v>0.25487672717420751</v>
      </c>
      <c r="D44" s="47">
        <f t="shared" si="130"/>
        <v>0.25466614090431128</v>
      </c>
      <c r="E44" s="47">
        <f t="shared" si="130"/>
        <v>0.24234264557388085</v>
      </c>
      <c r="F44" s="47">
        <f t="shared" si="130"/>
        <v>0.2468242988303358</v>
      </c>
      <c r="G44" s="47">
        <f t="shared" si="130"/>
        <v>0.20015189174261253</v>
      </c>
      <c r="H44" s="47">
        <f t="shared" si="130"/>
        <v>0.29623377379358518</v>
      </c>
      <c r="I44" s="47">
        <f>+IFERROR(I42/I$21,"nm")</f>
        <v>0.27864654279954232</v>
      </c>
      <c r="J44" s="47">
        <f t="shared" ref="J44:N44" si="131">+IFERROR(J42/J$21,"nm")</f>
        <v>0.27864654279954226</v>
      </c>
      <c r="K44" s="47">
        <f t="shared" si="131"/>
        <v>0.27864654279954226</v>
      </c>
      <c r="L44" s="47">
        <f t="shared" si="131"/>
        <v>0.27864654279954226</v>
      </c>
      <c r="M44" s="47">
        <f t="shared" si="131"/>
        <v>0.27864654279954226</v>
      </c>
      <c r="N44" s="47">
        <f t="shared" si="131"/>
        <v>0.27864654279954226</v>
      </c>
    </row>
    <row r="45" spans="1:14" x14ac:dyDescent="0.3">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8">
        <f>+J21*J47</f>
        <v>156.0546929657277</v>
      </c>
      <c r="K45" s="48">
        <f t="shared" ref="K45:N45" si="132">+K21*K47</f>
        <v>167.02118150711058</v>
      </c>
      <c r="L45" s="48">
        <f t="shared" si="132"/>
        <v>179.02215552650799</v>
      </c>
      <c r="M45" s="48">
        <f t="shared" si="132"/>
        <v>192.20344959254732</v>
      </c>
      <c r="N45" s="48">
        <f t="shared" si="132"/>
        <v>206.73924887884834</v>
      </c>
    </row>
    <row r="46" spans="1:14" x14ac:dyDescent="0.3">
      <c r="A46" s="46" t="s">
        <v>129</v>
      </c>
      <c r="B46" s="47" t="str">
        <f t="shared" ref="B46" si="133">+IFERROR(B45/A45-1,"nm")</f>
        <v>nm</v>
      </c>
      <c r="C46" s="47">
        <f t="shared" ref="C46" si="134">+IFERROR(C45/B45-1,"nm")</f>
        <v>0.16346153846153855</v>
      </c>
      <c r="D46" s="47">
        <f t="shared" ref="D46" si="135">+IFERROR(D45/C45-1,"nm")</f>
        <v>-7.8512396694214837E-2</v>
      </c>
      <c r="E46" s="47">
        <f t="shared" ref="E46" si="136">+IFERROR(E45/D45-1,"nm")</f>
        <v>-0.12107623318385652</v>
      </c>
      <c r="F46" s="47">
        <f t="shared" ref="F46" si="137">+IFERROR(F45/E45-1,"nm")</f>
        <v>-0.40306122448979587</v>
      </c>
      <c r="G46" s="47">
        <f t="shared" ref="G46" si="138">+IFERROR(G45/F45-1,"nm")</f>
        <v>-5.9829059829059839E-2</v>
      </c>
      <c r="H46" s="47">
        <f t="shared" ref="H46" si="139">+IFERROR(H45/G45-1,"nm")</f>
        <v>-0.10909090909090913</v>
      </c>
      <c r="I46" s="47">
        <f>+IFERROR(I45/H45-1,"nm")</f>
        <v>0.48979591836734704</v>
      </c>
      <c r="J46" s="47">
        <f t="shared" ref="J46" si="140">+IFERROR(J45/I45-1,"nm")</f>
        <v>6.8867760039230896E-2</v>
      </c>
      <c r="K46" s="47">
        <f t="shared" ref="K46" si="141">+IFERROR(K45/J45-1,"nm")</f>
        <v>7.0273365914034436E-2</v>
      </c>
      <c r="L46" s="47">
        <f t="shared" ref="L46" si="142">+IFERROR(L45/K45-1,"nm")</f>
        <v>7.1853006373844286E-2</v>
      </c>
      <c r="M46" s="47">
        <f t="shared" ref="M46" si="143">+IFERROR(M45/L45-1,"nm")</f>
        <v>7.3629400937961442E-2</v>
      </c>
      <c r="N46" s="47">
        <f t="shared" ref="N46" si="144">+IFERROR(N45/M45-1,"nm")</f>
        <v>7.5627150902418894E-2</v>
      </c>
    </row>
    <row r="47" spans="1:14" x14ac:dyDescent="0.3">
      <c r="A47" s="46" t="s">
        <v>133</v>
      </c>
      <c r="B47" s="47">
        <f t="shared" ref="B47:H47" si="145">+IFERROR(B45/B$21,"nm")</f>
        <v>1.5138282387190683E-2</v>
      </c>
      <c r="C47" s="47">
        <f t="shared" si="145"/>
        <v>1.6391221891086428E-2</v>
      </c>
      <c r="D47" s="47">
        <f t="shared" si="145"/>
        <v>1.4655625657202945E-2</v>
      </c>
      <c r="E47" s="47">
        <f t="shared" si="145"/>
        <v>1.3194210703466847E-2</v>
      </c>
      <c r="F47" s="47">
        <f t="shared" si="145"/>
        <v>7.3575650861526856E-3</v>
      </c>
      <c r="G47" s="47">
        <f t="shared" si="145"/>
        <v>7.5945871306268989E-3</v>
      </c>
      <c r="H47" s="47">
        <f t="shared" si="145"/>
        <v>5.7046393852960009E-3</v>
      </c>
      <c r="I47" s="47">
        <f>+IFERROR(I45/I$21,"nm")</f>
        <v>7.9551027080041418E-3</v>
      </c>
      <c r="J47" s="84">
        <f>+I47</f>
        <v>7.9551027080041418E-3</v>
      </c>
      <c r="K47" s="84">
        <f t="shared" ref="K47:N47" si="146">+J47</f>
        <v>7.9551027080041418E-3</v>
      </c>
      <c r="L47" s="84">
        <f t="shared" si="146"/>
        <v>7.9551027080041418E-3</v>
      </c>
      <c r="M47" s="84">
        <f t="shared" si="146"/>
        <v>7.9551027080041418E-3</v>
      </c>
      <c r="N47" s="84">
        <f t="shared" si="146"/>
        <v>7.9551027080041418E-3</v>
      </c>
    </row>
    <row r="48" spans="1:14" x14ac:dyDescent="0.3">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8">
        <f>+J21*J50</f>
        <v>683.00649866506842</v>
      </c>
      <c r="K48" s="48">
        <f t="shared" ref="K48:N48" si="147">+K21*K50</f>
        <v>731.00366426742244</v>
      </c>
      <c r="L48" s="48">
        <f t="shared" si="147"/>
        <v>783.52847521533295</v>
      </c>
      <c r="M48" s="48">
        <f t="shared" si="147"/>
        <v>841.21920746327226</v>
      </c>
      <c r="N48" s="48">
        <f t="shared" si="147"/>
        <v>904.83821940811026</v>
      </c>
    </row>
    <row r="49" spans="1:14" x14ac:dyDescent="0.3">
      <c r="A49" s="46" t="s">
        <v>129</v>
      </c>
      <c r="B49" s="47" t="str">
        <f t="shared" ref="B49" si="148">+IFERROR(B48/A48-1,"nm")</f>
        <v>nm</v>
      </c>
      <c r="C49" s="47">
        <f t="shared" ref="C49" si="149">+IFERROR(C48/B48-1,"nm")</f>
        <v>0.17405063291139244</v>
      </c>
      <c r="D49" s="47">
        <f t="shared" ref="D49" si="150">+IFERROR(D48/C48-1,"nm")</f>
        <v>0.10377358490566047</v>
      </c>
      <c r="E49" s="47">
        <f t="shared" ref="E49" si="151">+IFERROR(E48/D48-1,"nm")</f>
        <v>3.5409035409035505E-2</v>
      </c>
      <c r="F49" s="47">
        <f t="shared" ref="F49" si="152">+IFERROR(F48/E48-1,"nm")</f>
        <v>-4.0094339622641528E-2</v>
      </c>
      <c r="G49" s="47">
        <f t="shared" ref="G49" si="153">+IFERROR(G48/F48-1,"nm")</f>
        <v>-0.20761670761670759</v>
      </c>
      <c r="H49" s="47">
        <f t="shared" ref="H49" si="154">+IFERROR(H48/G48-1,"nm")</f>
        <v>-4.3410852713178349E-2</v>
      </c>
      <c r="I49" s="47">
        <f>+IFERROR(I48/H48-1,"nm")</f>
        <v>3.5656401944894611E-2</v>
      </c>
      <c r="J49" s="47">
        <f t="shared" ref="J49:N49" si="155">+IFERROR(J48/I48-1,"nm")</f>
        <v>6.8867760039230674E-2</v>
      </c>
      <c r="K49" s="47">
        <f t="shared" si="155"/>
        <v>7.0273365914034658E-2</v>
      </c>
      <c r="L49" s="47">
        <f t="shared" si="155"/>
        <v>7.1853006373844064E-2</v>
      </c>
      <c r="M49" s="47">
        <f t="shared" si="155"/>
        <v>7.3629400937961442E-2</v>
      </c>
      <c r="N49" s="47">
        <f t="shared" si="155"/>
        <v>7.5627150902418672E-2</v>
      </c>
    </row>
    <row r="50" spans="1:14" x14ac:dyDescent="0.3">
      <c r="A50" s="46" t="s">
        <v>133</v>
      </c>
      <c r="B50" s="47">
        <f t="shared" ref="B50:H50" si="156">+IFERROR(B48/B$21,"nm")</f>
        <v>4.599708879184862E-2</v>
      </c>
      <c r="C50" s="47">
        <f t="shared" si="156"/>
        <v>5.0257382823083174E-2</v>
      </c>
      <c r="D50" s="47">
        <f t="shared" si="156"/>
        <v>5.3824921135646686E-2</v>
      </c>
      <c r="E50" s="47">
        <f t="shared" si="156"/>
        <v>5.7085156512958597E-2</v>
      </c>
      <c r="F50" s="47">
        <f t="shared" si="156"/>
        <v>5.1188529744686205E-2</v>
      </c>
      <c r="G50" s="47">
        <f t="shared" si="156"/>
        <v>4.4531897265948632E-2</v>
      </c>
      <c r="H50" s="47">
        <f t="shared" si="156"/>
        <v>3.5915943884975841E-2</v>
      </c>
      <c r="I50" s="47">
        <f>+IFERROR(I48/I$21,"nm")</f>
        <v>3.4817196098730456E-2</v>
      </c>
      <c r="J50" s="84">
        <f>+I50</f>
        <v>3.4817196098730456E-2</v>
      </c>
      <c r="K50" s="84">
        <f t="shared" ref="K50:N50" si="157">+J50</f>
        <v>3.4817196098730456E-2</v>
      </c>
      <c r="L50" s="84">
        <f t="shared" si="157"/>
        <v>3.4817196098730456E-2</v>
      </c>
      <c r="M50" s="84">
        <f t="shared" si="157"/>
        <v>3.4817196098730456E-2</v>
      </c>
      <c r="N50" s="84">
        <f t="shared" si="157"/>
        <v>3.4817196098730456E-2</v>
      </c>
    </row>
    <row r="51" spans="1:14" x14ac:dyDescent="0.3">
      <c r="A51" s="79" t="str">
        <f>+[1]Historicals!A187</f>
        <v>Europe, Middle East &amp; Africa</v>
      </c>
      <c r="B51" s="69"/>
      <c r="C51" s="69"/>
      <c r="D51" s="69"/>
      <c r="E51" s="69"/>
      <c r="F51" s="69"/>
      <c r="G51" s="69"/>
      <c r="H51" s="69"/>
      <c r="I51" s="69"/>
      <c r="J51" s="70"/>
      <c r="K51" s="70"/>
      <c r="L51" s="70"/>
      <c r="M51" s="70"/>
      <c r="N51" s="70"/>
    </row>
    <row r="52" spans="1:14" x14ac:dyDescent="0.3">
      <c r="A52" s="71" t="s">
        <v>136</v>
      </c>
      <c r="B52" s="71">
        <f t="shared" ref="B52:I52" si="158">B54+B58+B62</f>
        <v>7126</v>
      </c>
      <c r="C52" s="71">
        <f t="shared" si="158"/>
        <v>7568</v>
      </c>
      <c r="D52" s="71">
        <f t="shared" si="158"/>
        <v>7970</v>
      </c>
      <c r="E52" s="71">
        <f t="shared" si="158"/>
        <v>9242</v>
      </c>
      <c r="F52" s="71">
        <f t="shared" si="158"/>
        <v>9812</v>
      </c>
      <c r="G52" s="71">
        <f t="shared" si="158"/>
        <v>9347</v>
      </c>
      <c r="H52" s="71">
        <f t="shared" si="158"/>
        <v>11456</v>
      </c>
      <c r="I52" s="71">
        <f t="shared" si="158"/>
        <v>12479</v>
      </c>
      <c r="J52" s="71">
        <f>+SUM(J54+J58+J62)</f>
        <v>13964.12</v>
      </c>
      <c r="K52" s="71">
        <f>+SUM(K54+K58+K62)</f>
        <v>15641.273600000002</v>
      </c>
      <c r="L52" s="71">
        <f>+SUM(L54+L58+L62)</f>
        <v>17537.160176000005</v>
      </c>
      <c r="M52" s="71">
        <f>+SUM(M54+M58+M62)</f>
        <v>19682.401703840002</v>
      </c>
      <c r="N52" s="71">
        <f>+SUM(N54+N58+N62)</f>
        <v>22112.141154891204</v>
      </c>
    </row>
    <row r="53" spans="1:14" x14ac:dyDescent="0.3">
      <c r="A53" s="72" t="s">
        <v>129</v>
      </c>
      <c r="B53" s="73" t="str">
        <f t="shared" ref="B53:N53" si="159">+IFERROR(B52/A52-1,"nm")</f>
        <v>nm</v>
      </c>
      <c r="C53" s="73">
        <f t="shared" si="159"/>
        <v>6.2026382262138746E-2</v>
      </c>
      <c r="D53" s="73">
        <f t="shared" si="159"/>
        <v>5.3118393234672379E-2</v>
      </c>
      <c r="E53" s="73">
        <f t="shared" si="159"/>
        <v>0.15959849435382689</v>
      </c>
      <c r="F53" s="73">
        <f t="shared" si="159"/>
        <v>6.1674962129409261E-2</v>
      </c>
      <c r="G53" s="73">
        <f t="shared" si="159"/>
        <v>-4.7390949857317621E-2</v>
      </c>
      <c r="H53" s="73">
        <f t="shared" si="159"/>
        <v>0.22563389322777372</v>
      </c>
      <c r="I53" s="73">
        <f t="shared" si="159"/>
        <v>8.9298184357541999E-2</v>
      </c>
      <c r="J53" s="73">
        <f t="shared" si="159"/>
        <v>0.11900953602051456</v>
      </c>
      <c r="K53" s="73">
        <f t="shared" si="159"/>
        <v>0.12010449638072451</v>
      </c>
      <c r="L53" s="73">
        <f t="shared" si="159"/>
        <v>0.12121049886883917</v>
      </c>
      <c r="M53" s="73">
        <f t="shared" si="159"/>
        <v>0.12232547951382733</v>
      </c>
      <c r="N53" s="73">
        <f t="shared" si="159"/>
        <v>0.12344730524309777</v>
      </c>
    </row>
    <row r="54" spans="1:14" x14ac:dyDescent="0.3">
      <c r="A54" s="74" t="s">
        <v>113</v>
      </c>
      <c r="B54" s="71">
        <f>+Historicals!B112</f>
        <v>4703</v>
      </c>
      <c r="C54" s="71">
        <f>+Historicals!C112</f>
        <v>5043</v>
      </c>
      <c r="D54" s="71">
        <f>+Historicals!D112</f>
        <v>5192</v>
      </c>
      <c r="E54" s="71">
        <f>+Historicals!E112</f>
        <v>5875</v>
      </c>
      <c r="F54" s="71">
        <f>+Historicals!F112</f>
        <v>6293</v>
      </c>
      <c r="G54" s="71">
        <f>+Historicals!G112</f>
        <v>5892</v>
      </c>
      <c r="H54" s="71">
        <f>+Historicals!H112</f>
        <v>6970</v>
      </c>
      <c r="I54" s="71">
        <f>+Historicals!I112</f>
        <v>7388</v>
      </c>
      <c r="J54" s="71">
        <f>+I54*(1+J55)</f>
        <v>8052.920000000001</v>
      </c>
      <c r="K54" s="71">
        <f>+J54*(1+K55)</f>
        <v>8777.6828000000023</v>
      </c>
      <c r="L54" s="71">
        <f>+K54*(1+L55)</f>
        <v>9567.6742520000025</v>
      </c>
      <c r="M54" s="71">
        <f>+L54*(1+M55)</f>
        <v>10428.764934680003</v>
      </c>
      <c r="N54" s="71">
        <f>+M54*(1+N55)</f>
        <v>11367.353778801204</v>
      </c>
    </row>
    <row r="55" spans="1:14" x14ac:dyDescent="0.3">
      <c r="A55" s="72" t="s">
        <v>129</v>
      </c>
      <c r="B55" s="73" t="str">
        <f t="shared" ref="B55:I55" si="160">+IFERROR(B54/A54-1,"nm")</f>
        <v>nm</v>
      </c>
      <c r="C55" s="73">
        <f t="shared" si="160"/>
        <v>7.2294280246651077E-2</v>
      </c>
      <c r="D55" s="73">
        <f t="shared" si="160"/>
        <v>2.9545905215149659E-2</v>
      </c>
      <c r="E55" s="73">
        <f t="shared" si="160"/>
        <v>0.1315485362095532</v>
      </c>
      <c r="F55" s="73">
        <f t="shared" si="160"/>
        <v>7.1148936170212673E-2</v>
      </c>
      <c r="G55" s="73">
        <f t="shared" si="160"/>
        <v>-6.3721595423486432E-2</v>
      </c>
      <c r="H55" s="73">
        <f t="shared" si="160"/>
        <v>0.18295994568907004</v>
      </c>
      <c r="I55" s="73">
        <f t="shared" si="160"/>
        <v>5.9971305595408975E-2</v>
      </c>
      <c r="J55" s="73">
        <f>+J56+J57</f>
        <v>0.09</v>
      </c>
      <c r="K55" s="73">
        <f>+K56+K57</f>
        <v>0.09</v>
      </c>
      <c r="L55" s="73">
        <f>+L56+L57</f>
        <v>0.09</v>
      </c>
      <c r="M55" s="73">
        <f>+M56+M57</f>
        <v>0.09</v>
      </c>
      <c r="N55" s="73">
        <f>+N56+N57</f>
        <v>0.09</v>
      </c>
    </row>
    <row r="56" spans="1:14" x14ac:dyDescent="0.3">
      <c r="A56" s="72" t="s">
        <v>137</v>
      </c>
      <c r="B56" s="73">
        <f>+Historicals!B184</f>
        <v>0.185</v>
      </c>
      <c r="C56" s="73">
        <f>+[1]Historicals!C188</f>
        <v>0.16</v>
      </c>
      <c r="D56" s="73">
        <f>+[1]Historicals!D188</f>
        <v>0.08</v>
      </c>
      <c r="E56" s="73">
        <f>+[1]Historicals!E188</f>
        <v>0.06</v>
      </c>
      <c r="F56" s="73">
        <f>+[1]Historicals!F188</f>
        <v>0.12</v>
      </c>
      <c r="G56" s="73">
        <f>+[1]Historicals!G188</f>
        <v>-0.03</v>
      </c>
      <c r="H56" s="73">
        <f>+[1]Historicals!H188</f>
        <v>0.19</v>
      </c>
      <c r="I56" s="73">
        <f>+[1]Historicals!I188</f>
        <v>0.09</v>
      </c>
      <c r="J56" s="85">
        <f>I56</f>
        <v>0.09</v>
      </c>
      <c r="K56" s="85">
        <f t="shared" ref="K56:N57" si="161">+J56</f>
        <v>0.09</v>
      </c>
      <c r="L56" s="85">
        <f t="shared" si="161"/>
        <v>0.09</v>
      </c>
      <c r="M56" s="85">
        <f t="shared" si="161"/>
        <v>0.09</v>
      </c>
      <c r="N56" s="85">
        <f t="shared" si="161"/>
        <v>0.09</v>
      </c>
    </row>
    <row r="57" spans="1:14" x14ac:dyDescent="0.3">
      <c r="A57" s="72" t="s">
        <v>138</v>
      </c>
      <c r="B57" s="73" t="str">
        <f t="shared" ref="B57:I57" si="162">+IFERROR(B55-B56,"nm")</f>
        <v>nm</v>
      </c>
      <c r="C57" s="73">
        <f t="shared" si="162"/>
        <v>-8.7705719753348926E-2</v>
      </c>
      <c r="D57" s="73">
        <f t="shared" si="162"/>
        <v>-5.0454094784850342E-2</v>
      </c>
      <c r="E57" s="73">
        <f t="shared" si="162"/>
        <v>7.1548536209553204E-2</v>
      </c>
      <c r="F57" s="73">
        <f t="shared" si="162"/>
        <v>-4.8851063829787322E-2</v>
      </c>
      <c r="G57" s="73">
        <f t="shared" si="162"/>
        <v>-3.3721595423486433E-2</v>
      </c>
      <c r="H57" s="73">
        <f t="shared" si="162"/>
        <v>-7.0400543109299663E-3</v>
      </c>
      <c r="I57" s="73">
        <f t="shared" si="162"/>
        <v>-3.0028694404591022E-2</v>
      </c>
      <c r="J57" s="75">
        <v>0</v>
      </c>
      <c r="K57" s="75">
        <f t="shared" si="161"/>
        <v>0</v>
      </c>
      <c r="L57" s="75">
        <f t="shared" si="161"/>
        <v>0</v>
      </c>
      <c r="M57" s="75">
        <f t="shared" si="161"/>
        <v>0</v>
      </c>
      <c r="N57" s="75">
        <f t="shared" si="161"/>
        <v>0</v>
      </c>
    </row>
    <row r="58" spans="1:14" x14ac:dyDescent="0.3">
      <c r="A58" s="74" t="s">
        <v>114</v>
      </c>
      <c r="B58" s="71">
        <f>+Historicals!B113</f>
        <v>2050</v>
      </c>
      <c r="C58" s="71">
        <f>+Historicals!C113</f>
        <v>2149</v>
      </c>
      <c r="D58" s="71">
        <f>+Historicals!D113</f>
        <v>2395</v>
      </c>
      <c r="E58" s="71">
        <f>+Historicals!E113</f>
        <v>2940</v>
      </c>
      <c r="F58" s="71">
        <f>+Historicals!F113</f>
        <v>3087</v>
      </c>
      <c r="G58" s="71">
        <f>+Historicals!G113</f>
        <v>3053</v>
      </c>
      <c r="H58" s="71">
        <f>+Historicals!H113</f>
        <v>3996</v>
      </c>
      <c r="I58" s="71">
        <f>+Historicals!I113</f>
        <v>4527</v>
      </c>
      <c r="J58" s="71">
        <f>+I58*(1+J59)</f>
        <v>5251.32</v>
      </c>
      <c r="K58" s="71">
        <f>+J58*(1+K59)</f>
        <v>6091.5311999999994</v>
      </c>
      <c r="L58" s="71">
        <f>+K58*(1+L59)</f>
        <v>7066.176191999999</v>
      </c>
      <c r="M58" s="71">
        <f>+L58*(1+M59)</f>
        <v>8196.764382719999</v>
      </c>
      <c r="N58" s="71">
        <f>+M58*(1+N59)</f>
        <v>9508.246683955198</v>
      </c>
    </row>
    <row r="59" spans="1:14" x14ac:dyDescent="0.3">
      <c r="A59" s="72" t="s">
        <v>129</v>
      </c>
      <c r="B59" s="73" t="str">
        <f t="shared" ref="B59:I59" si="163">+IFERROR(B58/A58-1,"nm")</f>
        <v>nm</v>
      </c>
      <c r="C59" s="73">
        <f t="shared" si="163"/>
        <v>4.8292682926829311E-2</v>
      </c>
      <c r="D59" s="73">
        <f t="shared" si="163"/>
        <v>0.11447184737087013</v>
      </c>
      <c r="E59" s="73">
        <f t="shared" si="163"/>
        <v>0.22755741127348639</v>
      </c>
      <c r="F59" s="73">
        <f t="shared" si="163"/>
        <v>5.0000000000000044E-2</v>
      </c>
      <c r="G59" s="73">
        <f t="shared" si="163"/>
        <v>-1.1013929381276322E-2</v>
      </c>
      <c r="H59" s="73">
        <f t="shared" si="163"/>
        <v>0.30887651490337364</v>
      </c>
      <c r="I59" s="73">
        <f t="shared" si="163"/>
        <v>0.13288288288288297</v>
      </c>
      <c r="J59" s="73">
        <f>+J60+J61</f>
        <v>0.16</v>
      </c>
      <c r="K59" s="73">
        <f>+K60+K61</f>
        <v>0.16</v>
      </c>
      <c r="L59" s="73">
        <f>+L60+L61</f>
        <v>0.16</v>
      </c>
      <c r="M59" s="73">
        <f>+M60+M61</f>
        <v>0.16</v>
      </c>
      <c r="N59" s="73">
        <f>+N60+N61</f>
        <v>0.16</v>
      </c>
    </row>
    <row r="60" spans="1:14" x14ac:dyDescent="0.3">
      <c r="A60" s="72" t="s">
        <v>137</v>
      </c>
      <c r="B60" s="73">
        <f>+Historicals!B185</f>
        <v>0.125</v>
      </c>
      <c r="C60" s="73">
        <f>+Historicals!C185</f>
        <v>9.5000000000000001E-2</v>
      </c>
      <c r="D60" s="73">
        <f>+Historicals!D185</f>
        <v>0.17</v>
      </c>
      <c r="E60" s="73">
        <f>+Historicals!E185</f>
        <v>0.16</v>
      </c>
      <c r="F60" s="73">
        <f>+Historicals!F185</f>
        <v>0.09</v>
      </c>
      <c r="G60" s="73">
        <f>+Historicals!G185</f>
        <v>0.02</v>
      </c>
      <c r="H60" s="73">
        <f>+Historicals!H185</f>
        <v>0.25</v>
      </c>
      <c r="I60" s="73">
        <f>+Historicals!I185</f>
        <v>0.16</v>
      </c>
      <c r="J60" s="85">
        <f>I60</f>
        <v>0.16</v>
      </c>
      <c r="K60" s="85">
        <f t="shared" ref="K60:N61" si="164">+J60</f>
        <v>0.16</v>
      </c>
      <c r="L60" s="85">
        <f t="shared" si="164"/>
        <v>0.16</v>
      </c>
      <c r="M60" s="85">
        <f t="shared" si="164"/>
        <v>0.16</v>
      </c>
      <c r="N60" s="85">
        <f t="shared" si="164"/>
        <v>0.16</v>
      </c>
    </row>
    <row r="61" spans="1:14" x14ac:dyDescent="0.3">
      <c r="A61" s="72" t="s">
        <v>138</v>
      </c>
      <c r="B61" s="73" t="str">
        <f t="shared" ref="B61:I61" si="165">+IFERROR(B59-B60,"nm")</f>
        <v>nm</v>
      </c>
      <c r="C61" s="73">
        <f t="shared" si="165"/>
        <v>-4.670731707317069E-2</v>
      </c>
      <c r="D61" s="73">
        <f t="shared" si="165"/>
        <v>-5.5528152629129884E-2</v>
      </c>
      <c r="E61" s="73">
        <f t="shared" si="165"/>
        <v>6.7557411273486384E-2</v>
      </c>
      <c r="F61" s="73">
        <f t="shared" si="165"/>
        <v>-3.9999999999999952E-2</v>
      </c>
      <c r="G61" s="73">
        <f t="shared" si="165"/>
        <v>-3.1013929381276322E-2</v>
      </c>
      <c r="H61" s="73">
        <f t="shared" si="165"/>
        <v>5.8876514903373645E-2</v>
      </c>
      <c r="I61" s="73">
        <f t="shared" si="165"/>
        <v>-2.7117117117117034E-2</v>
      </c>
      <c r="J61" s="75">
        <v>0</v>
      </c>
      <c r="K61" s="75">
        <f t="shared" si="164"/>
        <v>0</v>
      </c>
      <c r="L61" s="75">
        <f t="shared" si="164"/>
        <v>0</v>
      </c>
      <c r="M61" s="75">
        <f t="shared" si="164"/>
        <v>0</v>
      </c>
      <c r="N61" s="75">
        <f t="shared" si="164"/>
        <v>0</v>
      </c>
    </row>
    <row r="62" spans="1:14" x14ac:dyDescent="0.3">
      <c r="A62" s="74" t="s">
        <v>115</v>
      </c>
      <c r="B62" s="71">
        <f>+Historicals!B114</f>
        <v>373</v>
      </c>
      <c r="C62" s="71">
        <f>+Historicals!C114</f>
        <v>376</v>
      </c>
      <c r="D62" s="71">
        <f>+Historicals!D114</f>
        <v>383</v>
      </c>
      <c r="E62" s="71">
        <f>+Historicals!E114</f>
        <v>427</v>
      </c>
      <c r="F62" s="71">
        <f>+Historicals!F114</f>
        <v>432</v>
      </c>
      <c r="G62" s="71">
        <f>+Historicals!G114</f>
        <v>402</v>
      </c>
      <c r="H62" s="71">
        <f>+Historicals!H114</f>
        <v>490</v>
      </c>
      <c r="I62" s="71">
        <f>+Historicals!I114</f>
        <v>564</v>
      </c>
      <c r="J62" s="71">
        <f>+I62*(1+J63)</f>
        <v>659.88</v>
      </c>
      <c r="K62" s="71">
        <f>+J62*(1+K63)</f>
        <v>772.05959999999993</v>
      </c>
      <c r="L62" s="71">
        <f>+K62*(1+L63)</f>
        <v>903.30973199999983</v>
      </c>
      <c r="M62" s="71">
        <f>+L62*(1+M63)</f>
        <v>1056.8723864399997</v>
      </c>
      <c r="N62" s="71">
        <f>+M62*(1+N63)</f>
        <v>1236.5406921347994</v>
      </c>
    </row>
    <row r="63" spans="1:14" x14ac:dyDescent="0.3">
      <c r="A63" s="72" t="s">
        <v>129</v>
      </c>
      <c r="B63" s="73" t="str">
        <f t="shared" ref="B63:I63" si="166">+IFERROR(B62/A62-1,"nm")</f>
        <v>nm</v>
      </c>
      <c r="C63" s="73">
        <f t="shared" si="166"/>
        <v>8.0428954423592547E-3</v>
      </c>
      <c r="D63" s="73">
        <f t="shared" si="166"/>
        <v>1.8617021276595702E-2</v>
      </c>
      <c r="E63" s="73">
        <f t="shared" si="166"/>
        <v>0.11488250652741505</v>
      </c>
      <c r="F63" s="73">
        <f t="shared" si="166"/>
        <v>1.1709601873536313E-2</v>
      </c>
      <c r="G63" s="73">
        <f t="shared" si="166"/>
        <v>-6.944444444444442E-2</v>
      </c>
      <c r="H63" s="73">
        <f t="shared" si="166"/>
        <v>0.21890547263681581</v>
      </c>
      <c r="I63" s="73">
        <f t="shared" si="166"/>
        <v>0.15102040816326534</v>
      </c>
      <c r="J63" s="73">
        <f>+J64+J65</f>
        <v>0.17</v>
      </c>
      <c r="K63" s="73">
        <f>+K64+K65</f>
        <v>0.17</v>
      </c>
      <c r="L63" s="73">
        <f>+L64+L65</f>
        <v>0.17</v>
      </c>
      <c r="M63" s="73">
        <f>+M64+M65</f>
        <v>0.17</v>
      </c>
      <c r="N63" s="73">
        <f>+N64+N65</f>
        <v>0.17</v>
      </c>
    </row>
    <row r="64" spans="1:14" x14ac:dyDescent="0.3">
      <c r="A64" s="72" t="s">
        <v>137</v>
      </c>
      <c r="B64" s="73">
        <f>+Historicals!B186</f>
        <v>7.4999999999999997E-2</v>
      </c>
      <c r="C64" s="73">
        <f>+Historicals!C186</f>
        <v>0.14499999999999999</v>
      </c>
      <c r="D64" s="73">
        <f>+Historicals!D186</f>
        <v>7.0000000000000007E-2</v>
      </c>
      <c r="E64" s="73">
        <f>+Historicals!E186</f>
        <v>0.06</v>
      </c>
      <c r="F64" s="73">
        <f>+Historicals!F186</f>
        <v>0.05</v>
      </c>
      <c r="G64" s="73">
        <f>+Historicals!G186</f>
        <v>-0.03</v>
      </c>
      <c r="H64" s="73">
        <f>+Historicals!H186</f>
        <v>0.19</v>
      </c>
      <c r="I64" s="73">
        <f>+Historicals!I186</f>
        <v>0.17</v>
      </c>
      <c r="J64" s="85">
        <f>I64</f>
        <v>0.17</v>
      </c>
      <c r="K64" s="85">
        <f t="shared" ref="K64:N65" si="167">+J64</f>
        <v>0.17</v>
      </c>
      <c r="L64" s="85">
        <f t="shared" si="167"/>
        <v>0.17</v>
      </c>
      <c r="M64" s="85">
        <f t="shared" si="167"/>
        <v>0.17</v>
      </c>
      <c r="N64" s="85">
        <f t="shared" si="167"/>
        <v>0.17</v>
      </c>
    </row>
    <row r="65" spans="1:14" x14ac:dyDescent="0.3">
      <c r="A65" s="72" t="s">
        <v>138</v>
      </c>
      <c r="B65" s="73" t="str">
        <f t="shared" ref="B65:I65" si="168">+IFERROR(B63-B64,"nm")</f>
        <v>nm</v>
      </c>
      <c r="C65" s="73">
        <f t="shared" si="168"/>
        <v>-0.13695710455764074</v>
      </c>
      <c r="D65" s="73">
        <f t="shared" si="168"/>
        <v>-5.1382978723404304E-2</v>
      </c>
      <c r="E65" s="73">
        <f t="shared" si="168"/>
        <v>5.4882506527415054E-2</v>
      </c>
      <c r="F65" s="73">
        <f t="shared" si="168"/>
        <v>-3.829039812646369E-2</v>
      </c>
      <c r="G65" s="73">
        <f t="shared" si="168"/>
        <v>-3.9444444444444421E-2</v>
      </c>
      <c r="H65" s="73">
        <f t="shared" si="168"/>
        <v>2.890547263681581E-2</v>
      </c>
      <c r="I65" s="73">
        <f t="shared" si="168"/>
        <v>-1.8979591836734672E-2</v>
      </c>
      <c r="J65" s="75">
        <v>0</v>
      </c>
      <c r="K65" s="75">
        <f t="shared" si="167"/>
        <v>0</v>
      </c>
      <c r="L65" s="75">
        <f t="shared" si="167"/>
        <v>0</v>
      </c>
      <c r="M65" s="75">
        <f t="shared" si="167"/>
        <v>0</v>
      </c>
      <c r="N65" s="75">
        <f t="shared" si="167"/>
        <v>0</v>
      </c>
    </row>
    <row r="66" spans="1:14" x14ac:dyDescent="0.3">
      <c r="A66" s="71" t="s">
        <v>130</v>
      </c>
      <c r="B66" s="76">
        <f t="shared" ref="B66:I66" si="169">+B73+B69</f>
        <v>1611</v>
      </c>
      <c r="C66" s="76">
        <f t="shared" si="169"/>
        <v>1871</v>
      </c>
      <c r="D66" s="76">
        <f t="shared" si="169"/>
        <v>1611</v>
      </c>
      <c r="E66" s="76">
        <f t="shared" si="169"/>
        <v>1703</v>
      </c>
      <c r="F66" s="76">
        <f t="shared" si="169"/>
        <v>2106</v>
      </c>
      <c r="G66" s="76">
        <f t="shared" si="169"/>
        <v>1673</v>
      </c>
      <c r="H66" s="76">
        <f t="shared" si="169"/>
        <v>2571</v>
      </c>
      <c r="I66" s="76">
        <f t="shared" si="169"/>
        <v>3427</v>
      </c>
      <c r="J66" s="76">
        <f>+J52*J68</f>
        <v>3834.8456799423034</v>
      </c>
      <c r="K66" s="76">
        <f>+K52*K68</f>
        <v>4295.42788902957</v>
      </c>
      <c r="L66" s="76">
        <f>+L52*L68</f>
        <v>4816.0788463139688</v>
      </c>
      <c r="M66" s="76">
        <f>+M52*M68</f>
        <v>5405.2080005657253</v>
      </c>
      <c r="N66" s="76">
        <f>+N52*N68</f>
        <v>6072.4663625139965</v>
      </c>
    </row>
    <row r="67" spans="1:14" x14ac:dyDescent="0.3">
      <c r="A67" s="77" t="s">
        <v>129</v>
      </c>
      <c r="B67" s="73" t="str">
        <f t="shared" ref="B67:N67" si="170">+IFERROR(B66/A66-1,"nm")</f>
        <v>nm</v>
      </c>
      <c r="C67" s="73">
        <f t="shared" si="170"/>
        <v>0.16139044072004971</v>
      </c>
      <c r="D67" s="73">
        <f t="shared" si="170"/>
        <v>-0.13896312132549438</v>
      </c>
      <c r="E67" s="73">
        <f t="shared" si="170"/>
        <v>5.7107386716325204E-2</v>
      </c>
      <c r="F67" s="73">
        <f t="shared" si="170"/>
        <v>0.23664122137404586</v>
      </c>
      <c r="G67" s="73">
        <f t="shared" si="170"/>
        <v>-0.20560303893637222</v>
      </c>
      <c r="H67" s="73">
        <f t="shared" si="170"/>
        <v>0.53676031081888831</v>
      </c>
      <c r="I67" s="73">
        <f t="shared" si="170"/>
        <v>0.33294437961882539</v>
      </c>
      <c r="J67" s="73">
        <f t="shared" si="170"/>
        <v>0.11900953602051456</v>
      </c>
      <c r="K67" s="73">
        <f t="shared" si="170"/>
        <v>0.12010449638072429</v>
      </c>
      <c r="L67" s="73">
        <f t="shared" si="170"/>
        <v>0.12121049886883917</v>
      </c>
      <c r="M67" s="73">
        <f t="shared" si="170"/>
        <v>0.12232547951382733</v>
      </c>
      <c r="N67" s="73">
        <f t="shared" si="170"/>
        <v>0.12344730524309777</v>
      </c>
    </row>
    <row r="68" spans="1:14" x14ac:dyDescent="0.3">
      <c r="A68" s="77" t="s">
        <v>131</v>
      </c>
      <c r="B68" s="73">
        <f t="shared" ref="B68:I68" si="171">+IFERROR(B66/B$52,"nm")</f>
        <v>0.22607353353915241</v>
      </c>
      <c r="C68" s="73">
        <f t="shared" si="171"/>
        <v>0.24722515856236787</v>
      </c>
      <c r="D68" s="73">
        <f t="shared" si="171"/>
        <v>0.20213299874529486</v>
      </c>
      <c r="E68" s="73">
        <f t="shared" si="171"/>
        <v>0.18426747457260334</v>
      </c>
      <c r="F68" s="73">
        <f t="shared" si="171"/>
        <v>0.21463514064410924</v>
      </c>
      <c r="G68" s="73">
        <f t="shared" si="171"/>
        <v>0.17898791055953783</v>
      </c>
      <c r="H68" s="73">
        <f t="shared" si="171"/>
        <v>0.22442388268156424</v>
      </c>
      <c r="I68" s="73">
        <f t="shared" si="171"/>
        <v>0.27462136389133746</v>
      </c>
      <c r="J68" s="85">
        <f>+I68</f>
        <v>0.27462136389133746</v>
      </c>
      <c r="K68" s="85">
        <f>+J68</f>
        <v>0.27462136389133746</v>
      </c>
      <c r="L68" s="85">
        <f>+K68</f>
        <v>0.27462136389133746</v>
      </c>
      <c r="M68" s="85">
        <f>+L68</f>
        <v>0.27462136389133746</v>
      </c>
      <c r="N68" s="85">
        <f>+M68</f>
        <v>0.27462136389133746</v>
      </c>
    </row>
    <row r="69" spans="1:14" x14ac:dyDescent="0.3">
      <c r="A69" s="71" t="s">
        <v>132</v>
      </c>
      <c r="B69" s="71">
        <f>+Historicals!B168</f>
        <v>87</v>
      </c>
      <c r="C69" s="71">
        <f>+Historicals!C168</f>
        <v>84</v>
      </c>
      <c r="D69" s="71">
        <f>+Historicals!D168</f>
        <v>104</v>
      </c>
      <c r="E69" s="71">
        <f>+Historicals!E168</f>
        <v>116</v>
      </c>
      <c r="F69" s="71">
        <f>+Historicals!F168</f>
        <v>111</v>
      </c>
      <c r="G69" s="71">
        <f>+Historicals!G168</f>
        <v>132</v>
      </c>
      <c r="H69" s="71">
        <f>+Historicals!H168</f>
        <v>136</v>
      </c>
      <c r="I69" s="71">
        <f>+Historicals!I168</f>
        <v>134</v>
      </c>
      <c r="J69" s="76">
        <f>+J72*J79</f>
        <v>149.94727782674897</v>
      </c>
      <c r="K69" s="76">
        <f>+K72*K79</f>
        <v>167.95662011379119</v>
      </c>
      <c r="L69" s="76">
        <f>+L72*L79</f>
        <v>188.31472582610789</v>
      </c>
      <c r="M69" s="76">
        <f>+M72*M79</f>
        <v>211.35041496230147</v>
      </c>
      <c r="N69" s="76">
        <f>+N72*N79</f>
        <v>237.44105415140808</v>
      </c>
    </row>
    <row r="70" spans="1:14" x14ac:dyDescent="0.3">
      <c r="A70" s="77" t="s">
        <v>129</v>
      </c>
      <c r="B70" s="73" t="str">
        <f t="shared" ref="B70:N70" si="172">+IFERROR(B69/A69-1,"nm")</f>
        <v>nm</v>
      </c>
      <c r="C70" s="73">
        <f t="shared" si="172"/>
        <v>-3.4482758620689613E-2</v>
      </c>
      <c r="D70" s="73">
        <f t="shared" si="172"/>
        <v>0.23809523809523814</v>
      </c>
      <c r="E70" s="73">
        <f t="shared" si="172"/>
        <v>0.11538461538461542</v>
      </c>
      <c r="F70" s="73">
        <f t="shared" si="172"/>
        <v>-4.31034482758621E-2</v>
      </c>
      <c r="G70" s="73">
        <f t="shared" si="172"/>
        <v>0.18918918918918926</v>
      </c>
      <c r="H70" s="73">
        <f t="shared" si="172"/>
        <v>3.0303030303030276E-2</v>
      </c>
      <c r="I70" s="73">
        <f t="shared" si="172"/>
        <v>-1.4705882352941124E-2</v>
      </c>
      <c r="J70" s="73">
        <f t="shared" si="172"/>
        <v>0.11900953602051478</v>
      </c>
      <c r="K70" s="73">
        <f t="shared" si="172"/>
        <v>0.12010449638072429</v>
      </c>
      <c r="L70" s="73">
        <f t="shared" si="172"/>
        <v>0.12121049886883895</v>
      </c>
      <c r="M70" s="73">
        <f t="shared" si="172"/>
        <v>0.12232547951382733</v>
      </c>
      <c r="N70" s="73">
        <f t="shared" si="172"/>
        <v>0.12344730524309777</v>
      </c>
    </row>
    <row r="71" spans="1:14" x14ac:dyDescent="0.3">
      <c r="A71" s="77" t="s">
        <v>133</v>
      </c>
      <c r="B71" s="73">
        <f t="shared" ref="B71:N71" si="173">+IFERROR(B69/B$52,"nm")</f>
        <v>1.2208812798203761E-2</v>
      </c>
      <c r="C71" s="73">
        <f t="shared" si="173"/>
        <v>1.1099365750528542E-2</v>
      </c>
      <c r="D71" s="73">
        <f t="shared" si="173"/>
        <v>1.3048933500627352E-2</v>
      </c>
      <c r="E71" s="73">
        <f t="shared" si="173"/>
        <v>1.2551395801774508E-2</v>
      </c>
      <c r="F71" s="73">
        <f t="shared" si="173"/>
        <v>1.1312678353037097E-2</v>
      </c>
      <c r="G71" s="73">
        <f t="shared" si="173"/>
        <v>1.4122178239007167E-2</v>
      </c>
      <c r="H71" s="73">
        <f t="shared" si="173"/>
        <v>1.1871508379888268E-2</v>
      </c>
      <c r="I71" s="73">
        <f t="shared" si="173"/>
        <v>1.0738039907043834E-2</v>
      </c>
      <c r="J71" s="78">
        <f t="shared" si="173"/>
        <v>1.0738039907043835E-2</v>
      </c>
      <c r="K71" s="78">
        <f t="shared" si="173"/>
        <v>1.0738039907043834E-2</v>
      </c>
      <c r="L71" s="78">
        <f t="shared" si="173"/>
        <v>1.0738039907043832E-2</v>
      </c>
      <c r="M71" s="78">
        <f t="shared" si="173"/>
        <v>1.0738039907043834E-2</v>
      </c>
      <c r="N71" s="78">
        <f t="shared" si="173"/>
        <v>1.0738039907043834E-2</v>
      </c>
    </row>
    <row r="72" spans="1:14" x14ac:dyDescent="0.3">
      <c r="A72" s="77" t="s">
        <v>140</v>
      </c>
      <c r="B72" s="73">
        <f t="shared" ref="B72:I72" si="174">+IFERROR(B69/B79,"nm")</f>
        <v>0.1746987951807229</v>
      </c>
      <c r="C72" s="73">
        <f t="shared" si="174"/>
        <v>0.13145539906103287</v>
      </c>
      <c r="D72" s="73">
        <f t="shared" si="174"/>
        <v>0.1466854724964739</v>
      </c>
      <c r="E72" s="73">
        <f t="shared" si="174"/>
        <v>0.13663133097762073</v>
      </c>
      <c r="F72" s="73">
        <f t="shared" si="174"/>
        <v>0.11948331539289558</v>
      </c>
      <c r="G72" s="73">
        <f t="shared" si="174"/>
        <v>0.14915254237288136</v>
      </c>
      <c r="H72" s="73">
        <f t="shared" si="174"/>
        <v>0.1384928716904277</v>
      </c>
      <c r="I72" s="73">
        <f t="shared" si="174"/>
        <v>0.14565217391304347</v>
      </c>
      <c r="J72" s="85">
        <f>+I72</f>
        <v>0.14565217391304347</v>
      </c>
      <c r="K72" s="85">
        <f>+J72</f>
        <v>0.14565217391304347</v>
      </c>
      <c r="L72" s="85">
        <f>+K72</f>
        <v>0.14565217391304347</v>
      </c>
      <c r="M72" s="85">
        <f>+L72</f>
        <v>0.14565217391304347</v>
      </c>
      <c r="N72" s="85">
        <f>+M72</f>
        <v>0.14565217391304347</v>
      </c>
    </row>
    <row r="73" spans="1:14" x14ac:dyDescent="0.3">
      <c r="A73" s="71" t="s">
        <v>134</v>
      </c>
      <c r="B73" s="71">
        <f>+Historicals!B135</f>
        <v>1524</v>
      </c>
      <c r="C73" s="71">
        <f>+Historicals!C135</f>
        <v>1787</v>
      </c>
      <c r="D73" s="71">
        <f>+Historicals!D135</f>
        <v>1507</v>
      </c>
      <c r="E73" s="71">
        <f>+Historicals!E135</f>
        <v>1587</v>
      </c>
      <c r="F73" s="71">
        <f>+Historicals!F135</f>
        <v>1995</v>
      </c>
      <c r="G73" s="71">
        <f>+Historicals!G135</f>
        <v>1541</v>
      </c>
      <c r="H73" s="71">
        <f>+Historicals!H135</f>
        <v>2435</v>
      </c>
      <c r="I73" s="71">
        <f>+Historicals!I135</f>
        <v>3293</v>
      </c>
      <c r="J73" s="71">
        <f>+J66-J69</f>
        <v>3684.8984021155543</v>
      </c>
      <c r="K73" s="71">
        <f>+K66-K69</f>
        <v>4127.4712689157786</v>
      </c>
      <c r="L73" s="71">
        <f>+L66-L69</f>
        <v>4627.764120487861</v>
      </c>
      <c r="M73" s="71">
        <f>+M66-M69</f>
        <v>5193.857585603424</v>
      </c>
      <c r="N73" s="71">
        <f>+N66-N69</f>
        <v>5835.0253083625885</v>
      </c>
    </row>
    <row r="74" spans="1:14" x14ac:dyDescent="0.3">
      <c r="A74" s="77" t="s">
        <v>129</v>
      </c>
      <c r="B74" s="73" t="str">
        <f t="shared" ref="B74:N74" si="175">+IFERROR(B73/A73-1,"nm")</f>
        <v>nm</v>
      </c>
      <c r="C74" s="73">
        <f t="shared" si="175"/>
        <v>0.17257217847769035</v>
      </c>
      <c r="D74" s="73">
        <f t="shared" si="175"/>
        <v>-0.15668718522663683</v>
      </c>
      <c r="E74" s="73">
        <f t="shared" si="175"/>
        <v>5.3085600530855981E-2</v>
      </c>
      <c r="F74" s="73">
        <f t="shared" si="175"/>
        <v>0.25708884688090738</v>
      </c>
      <c r="G74" s="73">
        <f t="shared" si="175"/>
        <v>-0.22756892230576442</v>
      </c>
      <c r="H74" s="73">
        <f t="shared" si="175"/>
        <v>0.58014276443867629</v>
      </c>
      <c r="I74" s="73">
        <f t="shared" si="175"/>
        <v>0.3523613963039014</v>
      </c>
      <c r="J74" s="73">
        <f t="shared" si="175"/>
        <v>0.11900953602051456</v>
      </c>
      <c r="K74" s="73">
        <f t="shared" si="175"/>
        <v>0.12010449638072429</v>
      </c>
      <c r="L74" s="73">
        <f t="shared" si="175"/>
        <v>0.12121049886883917</v>
      </c>
      <c r="M74" s="73">
        <f t="shared" si="175"/>
        <v>0.12232547951382733</v>
      </c>
      <c r="N74" s="73">
        <f t="shared" si="175"/>
        <v>0.12344730524309777</v>
      </c>
    </row>
    <row r="75" spans="1:14" x14ac:dyDescent="0.3">
      <c r="A75" s="77" t="s">
        <v>131</v>
      </c>
      <c r="B75" s="73">
        <f t="shared" ref="B75:I75" si="176">+IFERROR(B73/B$52,"nm")</f>
        <v>0.21386472074094864</v>
      </c>
      <c r="C75" s="73">
        <f t="shared" si="176"/>
        <v>0.23612579281183932</v>
      </c>
      <c r="D75" s="73">
        <f t="shared" si="176"/>
        <v>0.1890840652446675</v>
      </c>
      <c r="E75" s="73">
        <f t="shared" si="176"/>
        <v>0.17171607877082881</v>
      </c>
      <c r="F75" s="73">
        <f t="shared" si="176"/>
        <v>0.20332246229107215</v>
      </c>
      <c r="G75" s="73">
        <f t="shared" si="176"/>
        <v>0.16486573232053064</v>
      </c>
      <c r="H75" s="73">
        <f t="shared" si="176"/>
        <v>0.21255237430167598</v>
      </c>
      <c r="I75" s="73">
        <f t="shared" si="176"/>
        <v>0.26388332398429359</v>
      </c>
      <c r="J75" s="78">
        <f>+IFERROR(J73/J$52,"nK75m")</f>
        <v>0.26388332398429359</v>
      </c>
      <c r="K75" s="78">
        <f>+IFERROR(K73/K$52,"nK75m")</f>
        <v>0.26388332398429359</v>
      </c>
      <c r="L75" s="78">
        <f>+IFERROR(L73/L$52,"nK75m")</f>
        <v>0.26388332398429359</v>
      </c>
      <c r="M75" s="78">
        <f>+IFERROR(M73/M$52,"nK75m")</f>
        <v>0.26388332398429365</v>
      </c>
      <c r="N75" s="78">
        <f>+IFERROR(N73/N$52,"nK75m")</f>
        <v>0.26388332398429365</v>
      </c>
    </row>
    <row r="76" spans="1:14" x14ac:dyDescent="0.3">
      <c r="A76" s="71" t="s">
        <v>135</v>
      </c>
      <c r="B76" s="71">
        <f>+Historicals!B157</f>
        <v>236</v>
      </c>
      <c r="C76" s="71">
        <f>+Historicals!C157</f>
        <v>232</v>
      </c>
      <c r="D76" s="71">
        <f>+Historicals!D157</f>
        <v>173</v>
      </c>
      <c r="E76" s="71">
        <f>+Historicals!E157</f>
        <v>240</v>
      </c>
      <c r="F76" s="71">
        <f>+Historicals!F157</f>
        <v>233</v>
      </c>
      <c r="G76" s="71">
        <f>+Historicals!G157</f>
        <v>139</v>
      </c>
      <c r="H76" s="71">
        <f>+Historicals!H157</f>
        <v>153</v>
      </c>
      <c r="I76" s="71">
        <f>+Historicals!I157</f>
        <v>197</v>
      </c>
      <c r="J76" s="76">
        <f>+J52*J78</f>
        <v>220.44487859604135</v>
      </c>
      <c r="K76" s="76">
        <f>+K52*K78</f>
        <v>246.92129971952883</v>
      </c>
      <c r="L76" s="76">
        <f>+L52*L78</f>
        <v>276.85075363987505</v>
      </c>
      <c r="M76" s="76">
        <f>+M52*M78</f>
        <v>310.71665483263723</v>
      </c>
      <c r="N76" s="76">
        <f>+N52*N78</f>
        <v>349.07378856587604</v>
      </c>
    </row>
    <row r="77" spans="1:14" x14ac:dyDescent="0.3">
      <c r="A77" s="77" t="s">
        <v>129</v>
      </c>
      <c r="B77" s="73" t="str">
        <f t="shared" ref="B77:N77" si="177">+IFERROR(B76/A76-1,"nm")</f>
        <v>nm</v>
      </c>
      <c r="C77" s="73">
        <f t="shared" si="177"/>
        <v>-1.6949152542372836E-2</v>
      </c>
      <c r="D77" s="73">
        <f t="shared" si="177"/>
        <v>-0.25431034482758619</v>
      </c>
      <c r="E77" s="73">
        <f t="shared" si="177"/>
        <v>0.38728323699421963</v>
      </c>
      <c r="F77" s="73">
        <f t="shared" si="177"/>
        <v>-2.9166666666666674E-2</v>
      </c>
      <c r="G77" s="73">
        <f t="shared" si="177"/>
        <v>-0.40343347639484983</v>
      </c>
      <c r="H77" s="73">
        <f t="shared" si="177"/>
        <v>0.10071942446043169</v>
      </c>
      <c r="I77" s="73">
        <f t="shared" si="177"/>
        <v>0.28758169934640532</v>
      </c>
      <c r="J77" s="73">
        <f t="shared" si="177"/>
        <v>0.11900953602051456</v>
      </c>
      <c r="K77" s="73">
        <f t="shared" si="177"/>
        <v>0.12010449638072451</v>
      </c>
      <c r="L77" s="73">
        <f t="shared" si="177"/>
        <v>0.12121049886883917</v>
      </c>
      <c r="M77" s="73">
        <f t="shared" si="177"/>
        <v>0.12232547951382733</v>
      </c>
      <c r="N77" s="73">
        <f t="shared" si="177"/>
        <v>0.12344730524309777</v>
      </c>
    </row>
    <row r="78" spans="1:14" x14ac:dyDescent="0.3">
      <c r="A78" s="77" t="s">
        <v>133</v>
      </c>
      <c r="B78" s="73">
        <f t="shared" ref="B78:I78" si="178">+IFERROR(B76/B$52,"nm")</f>
        <v>3.3118158854897557E-2</v>
      </c>
      <c r="C78" s="73">
        <f t="shared" si="178"/>
        <v>3.06553911205074E-2</v>
      </c>
      <c r="D78" s="73">
        <f t="shared" si="178"/>
        <v>2.1706398996235884E-2</v>
      </c>
      <c r="E78" s="73">
        <f t="shared" si="178"/>
        <v>2.5968405107119671E-2</v>
      </c>
      <c r="F78" s="73">
        <f t="shared" si="178"/>
        <v>2.3746432939258051E-2</v>
      </c>
      <c r="G78" s="73">
        <f t="shared" si="178"/>
        <v>1.4871081630469669E-2</v>
      </c>
      <c r="H78" s="73">
        <f t="shared" si="178"/>
        <v>1.3355446927374302E-2</v>
      </c>
      <c r="I78" s="73">
        <f t="shared" si="178"/>
        <v>1.5786521355877874E-2</v>
      </c>
      <c r="J78" s="85">
        <f>+I78</f>
        <v>1.5786521355877874E-2</v>
      </c>
      <c r="K78" s="85">
        <f>+J78</f>
        <v>1.5786521355877874E-2</v>
      </c>
      <c r="L78" s="85">
        <f>+K78</f>
        <v>1.5786521355877874E-2</v>
      </c>
      <c r="M78" s="85">
        <f>+L78</f>
        <v>1.5786521355877874E-2</v>
      </c>
      <c r="N78" s="85">
        <f>+M78</f>
        <v>1.5786521355877874E-2</v>
      </c>
    </row>
    <row r="79" spans="1:14" x14ac:dyDescent="0.3">
      <c r="A79" s="71" t="s">
        <v>141</v>
      </c>
      <c r="B79" s="71">
        <f>+Historicals!B146</f>
        <v>498</v>
      </c>
      <c r="C79" s="71">
        <f>+Historicals!C146</f>
        <v>639</v>
      </c>
      <c r="D79" s="71">
        <f>+Historicals!D146</f>
        <v>709</v>
      </c>
      <c r="E79" s="71">
        <f>+Historicals!E146</f>
        <v>849</v>
      </c>
      <c r="F79" s="71">
        <f>+Historicals!F146</f>
        <v>929</v>
      </c>
      <c r="G79" s="71">
        <f>+Historicals!G146</f>
        <v>885</v>
      </c>
      <c r="H79" s="71">
        <f>+Historicals!H146</f>
        <v>982</v>
      </c>
      <c r="I79" s="71">
        <f>+Historicals!I146</f>
        <v>920</v>
      </c>
      <c r="J79" s="76">
        <f>+J52*J81</f>
        <v>1029.4887731388735</v>
      </c>
      <c r="K79" s="76">
        <f>+K52*K81</f>
        <v>1153.1350037663276</v>
      </c>
      <c r="L79" s="76">
        <f>+L52*L81</f>
        <v>1292.9070728359648</v>
      </c>
      <c r="M79" s="76">
        <f>+M52*M81</f>
        <v>1451.0625504874431</v>
      </c>
      <c r="N79" s="76">
        <f>+N52*N81</f>
        <v>1630.1923120842944</v>
      </c>
    </row>
    <row r="80" spans="1:14" x14ac:dyDescent="0.3">
      <c r="A80" s="77" t="s">
        <v>129</v>
      </c>
      <c r="B80" s="73" t="str">
        <f t="shared" ref="B80:I80" si="179">+IFERROR(B79/A79-1,"nm")</f>
        <v>nm</v>
      </c>
      <c r="C80" s="73">
        <f t="shared" si="179"/>
        <v>0.2831325301204819</v>
      </c>
      <c r="D80" s="73">
        <f t="shared" si="179"/>
        <v>0.10954616588419408</v>
      </c>
      <c r="E80" s="73">
        <f t="shared" si="179"/>
        <v>0.19746121297602248</v>
      </c>
      <c r="F80" s="73">
        <f t="shared" si="179"/>
        <v>9.4228504122497059E-2</v>
      </c>
      <c r="G80" s="73">
        <f t="shared" si="179"/>
        <v>-4.7362755651237931E-2</v>
      </c>
      <c r="H80" s="73">
        <f t="shared" si="179"/>
        <v>0.1096045197740112</v>
      </c>
      <c r="I80" s="73">
        <f t="shared" si="179"/>
        <v>-6.313645621181263E-2</v>
      </c>
      <c r="J80" s="73">
        <f t="shared" ref="J80" si="180">+IFERROR(J79/I79-1,"nm")</f>
        <v>0.11900953602051478</v>
      </c>
      <c r="K80" s="73">
        <f t="shared" ref="K80" si="181">+IFERROR(K79/J79-1,"nm")</f>
        <v>0.12010449638072429</v>
      </c>
      <c r="L80" s="73">
        <f t="shared" ref="L80" si="182">+IFERROR(L79/K79-1,"nm")</f>
        <v>0.12121049886883895</v>
      </c>
      <c r="M80" s="73">
        <f t="shared" ref="M80" si="183">+IFERROR(M79/L79-1,"nm")</f>
        <v>0.12232547951382733</v>
      </c>
      <c r="N80" s="73">
        <f t="shared" ref="N80" si="184">+IFERROR(N79/M79-1,"nm")</f>
        <v>0.12344730524309777</v>
      </c>
    </row>
    <row r="81" spans="1:14" x14ac:dyDescent="0.3">
      <c r="A81" s="77" t="s">
        <v>133</v>
      </c>
      <c r="B81" s="73">
        <f t="shared" ref="B81:I81" si="185">+IFERROR(B79/B$52,"nm")</f>
        <v>6.9884928431097393E-2</v>
      </c>
      <c r="C81" s="73">
        <f t="shared" si="185"/>
        <v>8.4434460887949259E-2</v>
      </c>
      <c r="D81" s="73">
        <f t="shared" si="185"/>
        <v>8.8958594730238399E-2</v>
      </c>
      <c r="E81" s="73">
        <f t="shared" si="185"/>
        <v>9.1863233066435832E-2</v>
      </c>
      <c r="F81" s="73">
        <f t="shared" si="185"/>
        <v>9.4679983693436609E-2</v>
      </c>
      <c r="G81" s="73">
        <f t="shared" si="185"/>
        <v>9.4682785920616241E-2</v>
      </c>
      <c r="H81" s="73">
        <f t="shared" si="185"/>
        <v>8.5719273743016758E-2</v>
      </c>
      <c r="I81" s="73">
        <f t="shared" si="185"/>
        <v>7.37238560782114E-2</v>
      </c>
      <c r="J81" s="85">
        <f>+I81</f>
        <v>7.37238560782114E-2</v>
      </c>
      <c r="K81" s="85">
        <f>+J81</f>
        <v>7.37238560782114E-2</v>
      </c>
      <c r="L81" s="85">
        <f>+K81</f>
        <v>7.37238560782114E-2</v>
      </c>
      <c r="M81" s="85">
        <f>+L81</f>
        <v>7.37238560782114E-2</v>
      </c>
      <c r="N81" s="85">
        <f>+M81</f>
        <v>7.37238560782114E-2</v>
      </c>
    </row>
    <row r="82" spans="1:14" x14ac:dyDescent="0.3">
      <c r="A82" s="79" t="str">
        <f>+[1]Historicals!A191</f>
        <v>Greater China</v>
      </c>
      <c r="B82" s="69"/>
      <c r="C82" s="69"/>
      <c r="D82" s="69"/>
      <c r="E82" s="69"/>
      <c r="F82" s="69"/>
      <c r="G82" s="69"/>
      <c r="H82" s="69"/>
      <c r="I82" s="69"/>
      <c r="J82" s="70"/>
      <c r="K82" s="70"/>
      <c r="L82" s="70"/>
      <c r="M82" s="70"/>
      <c r="N82" s="70"/>
    </row>
    <row r="83" spans="1:14" x14ac:dyDescent="0.3">
      <c r="A83" s="71" t="s">
        <v>136</v>
      </c>
      <c r="B83" s="71">
        <f t="shared" ref="B83:I83" si="186">B85+B89+B93</f>
        <v>3067</v>
      </c>
      <c r="C83" s="71">
        <f t="shared" si="186"/>
        <v>3785</v>
      </c>
      <c r="D83" s="71">
        <f t="shared" si="186"/>
        <v>4237</v>
      </c>
      <c r="E83" s="71">
        <f t="shared" si="186"/>
        <v>5134</v>
      </c>
      <c r="F83" s="71">
        <f t="shared" si="186"/>
        <v>6208</v>
      </c>
      <c r="G83" s="71">
        <f t="shared" si="186"/>
        <v>6679</v>
      </c>
      <c r="H83" s="71">
        <f t="shared" si="186"/>
        <v>8290</v>
      </c>
      <c r="I83" s="71">
        <f t="shared" si="186"/>
        <v>7547</v>
      </c>
      <c r="J83" s="71">
        <f>+SUM(J85+J89+J93)</f>
        <v>6586.84</v>
      </c>
      <c r="K83" s="71">
        <f>+SUM(K85+K89+K93)</f>
        <v>5767.0006000000012</v>
      </c>
      <c r="L83" s="71">
        <f>+SUM(L85+L89+L93)</f>
        <v>5064.0762940000013</v>
      </c>
      <c r="M83" s="71">
        <f>+SUM(M85+M89+M93)</f>
        <v>4458.9747190600019</v>
      </c>
      <c r="N83" s="71">
        <f>+SUM(N85+N89+N93)</f>
        <v>3936.070846449401</v>
      </c>
    </row>
    <row r="84" spans="1:14" x14ac:dyDescent="0.3">
      <c r="A84" s="72" t="s">
        <v>129</v>
      </c>
      <c r="B84" s="73" t="str">
        <f t="shared" ref="B84:N84" si="187">+IFERROR(B83/A83-1,"nm")</f>
        <v>nm</v>
      </c>
      <c r="C84" s="73">
        <f t="shared" si="187"/>
        <v>0.23410498858819695</v>
      </c>
      <c r="D84" s="73">
        <f t="shared" si="187"/>
        <v>0.11941875825627468</v>
      </c>
      <c r="E84" s="73">
        <f t="shared" si="187"/>
        <v>0.21170639603493036</v>
      </c>
      <c r="F84" s="73">
        <f t="shared" si="187"/>
        <v>0.20919361121932223</v>
      </c>
      <c r="G84" s="73">
        <f t="shared" si="187"/>
        <v>7.5869845360824639E-2</v>
      </c>
      <c r="H84" s="73">
        <f t="shared" si="187"/>
        <v>0.24120377301991325</v>
      </c>
      <c r="I84" s="73">
        <f t="shared" si="187"/>
        <v>-8.9626055488540413E-2</v>
      </c>
      <c r="J84" s="73">
        <f t="shared" si="187"/>
        <v>-0.12722406254140717</v>
      </c>
      <c r="K84" s="73">
        <f t="shared" si="187"/>
        <v>-0.12446626910627845</v>
      </c>
      <c r="L84" s="73">
        <f t="shared" si="187"/>
        <v>-0.12188733013136843</v>
      </c>
      <c r="M84" s="73">
        <f t="shared" si="187"/>
        <v>-0.11948903211765061</v>
      </c>
      <c r="N84" s="73">
        <f t="shared" si="187"/>
        <v>-0.11726997921191051</v>
      </c>
    </row>
    <row r="85" spans="1:14" x14ac:dyDescent="0.3">
      <c r="A85" s="74" t="s">
        <v>113</v>
      </c>
      <c r="B85" s="71">
        <f>+Historicals!B116</f>
        <v>2016</v>
      </c>
      <c r="C85" s="71">
        <f>+Historicals!C116</f>
        <v>2599</v>
      </c>
      <c r="D85" s="71">
        <f>+Historicals!D116</f>
        <v>2920</v>
      </c>
      <c r="E85" s="71">
        <f>+Historicals!E116</f>
        <v>3496</v>
      </c>
      <c r="F85" s="71">
        <f>+Historicals!F116</f>
        <v>4262</v>
      </c>
      <c r="G85" s="71">
        <f>+Historicals!G116</f>
        <v>4635</v>
      </c>
      <c r="H85" s="71">
        <f>+Historicals!H116</f>
        <v>5748</v>
      </c>
      <c r="I85" s="71">
        <f>+Historicals!I116</f>
        <v>5416</v>
      </c>
      <c r="J85" s="71">
        <f>+I85*(1+J86)</f>
        <v>4874.4000000000005</v>
      </c>
      <c r="K85" s="71">
        <f>+J85*(1+K86)</f>
        <v>4386.9600000000009</v>
      </c>
      <c r="L85" s="71">
        <f>+K85*(1+L86)</f>
        <v>3948.264000000001</v>
      </c>
      <c r="M85" s="71">
        <f>+L85*(1+M86)</f>
        <v>3553.4376000000011</v>
      </c>
      <c r="N85" s="71">
        <f>+M85*(1+N86)</f>
        <v>3198.0938400000009</v>
      </c>
    </row>
    <row r="86" spans="1:14" x14ac:dyDescent="0.3">
      <c r="A86" s="72" t="s">
        <v>129</v>
      </c>
      <c r="B86" s="73" t="str">
        <f t="shared" ref="B86:I86" si="188">+IFERROR(B85/A85-1,"nm")</f>
        <v>nm</v>
      </c>
      <c r="C86" s="73">
        <f t="shared" si="188"/>
        <v>0.28918650793650791</v>
      </c>
      <c r="D86" s="73">
        <f t="shared" si="188"/>
        <v>0.12350904193920731</v>
      </c>
      <c r="E86" s="73">
        <f t="shared" si="188"/>
        <v>0.19726027397260282</v>
      </c>
      <c r="F86" s="73">
        <f t="shared" si="188"/>
        <v>0.21910755148741412</v>
      </c>
      <c r="G86" s="73">
        <f t="shared" si="188"/>
        <v>8.7517597372125833E-2</v>
      </c>
      <c r="H86" s="73">
        <f t="shared" si="188"/>
        <v>0.24012944983818763</v>
      </c>
      <c r="I86" s="73">
        <f t="shared" si="188"/>
        <v>-5.7759220598469052E-2</v>
      </c>
      <c r="J86" s="73">
        <f>+J87+J88</f>
        <v>-0.1</v>
      </c>
      <c r="K86" s="73">
        <f>+K87+K88</f>
        <v>-0.1</v>
      </c>
      <c r="L86" s="73">
        <f>+L87+L88</f>
        <v>-0.1</v>
      </c>
      <c r="M86" s="73">
        <f>+M87+M88</f>
        <v>-0.1</v>
      </c>
      <c r="N86" s="73">
        <f>+N87+N88</f>
        <v>-0.1</v>
      </c>
    </row>
    <row r="87" spans="1:14" x14ac:dyDescent="0.3">
      <c r="A87" s="72" t="s">
        <v>137</v>
      </c>
      <c r="B87" s="73">
        <f>Historicals!B188</f>
        <v>0.28000000000000003</v>
      </c>
      <c r="C87" s="73">
        <f>Historicals!C188</f>
        <v>0.33</v>
      </c>
      <c r="D87" s="73">
        <f>Historicals!D188</f>
        <v>0.18</v>
      </c>
      <c r="E87" s="73">
        <f>Historicals!E188</f>
        <v>0.16</v>
      </c>
      <c r="F87" s="73">
        <f>Historicals!F188</f>
        <v>0.25</v>
      </c>
      <c r="G87" s="73">
        <f>Historicals!G188</f>
        <v>0.12</v>
      </c>
      <c r="H87" s="73">
        <f>Historicals!H188</f>
        <v>0.19</v>
      </c>
      <c r="I87" s="73">
        <f>Historicals!I188</f>
        <v>-0.1</v>
      </c>
      <c r="J87" s="85">
        <f>I87</f>
        <v>-0.1</v>
      </c>
      <c r="K87" s="85">
        <f t="shared" ref="K87:N88" si="189">+J87</f>
        <v>-0.1</v>
      </c>
      <c r="L87" s="85">
        <f t="shared" si="189"/>
        <v>-0.1</v>
      </c>
      <c r="M87" s="85">
        <f t="shared" si="189"/>
        <v>-0.1</v>
      </c>
      <c r="N87" s="85">
        <f t="shared" si="189"/>
        <v>-0.1</v>
      </c>
    </row>
    <row r="88" spans="1:14" x14ac:dyDescent="0.3">
      <c r="A88" s="72" t="s">
        <v>138</v>
      </c>
      <c r="B88" s="73" t="str">
        <f t="shared" ref="B88:I88" si="190">+IFERROR(B86-B87,"nm")</f>
        <v>nm</v>
      </c>
      <c r="C88" s="73">
        <f t="shared" si="190"/>
        <v>-4.0813492063492107E-2</v>
      </c>
      <c r="D88" s="73">
        <f t="shared" si="190"/>
        <v>-5.6490958060792684E-2</v>
      </c>
      <c r="E88" s="73">
        <f t="shared" si="190"/>
        <v>3.7260273972602814E-2</v>
      </c>
      <c r="F88" s="73">
        <f t="shared" si="190"/>
        <v>-3.0892448512585879E-2</v>
      </c>
      <c r="G88" s="73">
        <f t="shared" si="190"/>
        <v>-3.2482402627874163E-2</v>
      </c>
      <c r="H88" s="73">
        <f t="shared" si="190"/>
        <v>5.0129449838187623E-2</v>
      </c>
      <c r="I88" s="73">
        <f t="shared" si="190"/>
        <v>4.2240779401530953E-2</v>
      </c>
      <c r="J88" s="75">
        <v>0</v>
      </c>
      <c r="K88" s="75">
        <f t="shared" si="189"/>
        <v>0</v>
      </c>
      <c r="L88" s="75">
        <f t="shared" si="189"/>
        <v>0</v>
      </c>
      <c r="M88" s="75">
        <f t="shared" si="189"/>
        <v>0</v>
      </c>
      <c r="N88" s="75">
        <f t="shared" si="189"/>
        <v>0</v>
      </c>
    </row>
    <row r="89" spans="1:14" x14ac:dyDescent="0.3">
      <c r="A89" s="74" t="s">
        <v>114</v>
      </c>
      <c r="B89" s="71">
        <f>+Historicals!B117</f>
        <v>925</v>
      </c>
      <c r="C89" s="71">
        <f>+Historicals!C117</f>
        <v>1055</v>
      </c>
      <c r="D89" s="71">
        <f>+Historicals!D117</f>
        <v>1188</v>
      </c>
      <c r="E89" s="71">
        <f>+Historicals!E117</f>
        <v>1508</v>
      </c>
      <c r="F89" s="71">
        <f>+Historicals!F117</f>
        <v>1808</v>
      </c>
      <c r="G89" s="71">
        <f>+Historicals!G117</f>
        <v>1896</v>
      </c>
      <c r="H89" s="71">
        <f>+Historicals!H117</f>
        <v>2347</v>
      </c>
      <c r="I89" s="71">
        <f>+Historicals!I117</f>
        <v>1938</v>
      </c>
      <c r="J89" s="71">
        <f>+I89*(1+J90)</f>
        <v>1531.02</v>
      </c>
      <c r="K89" s="71">
        <f>+J89*(1+K90)</f>
        <v>1209.5058000000001</v>
      </c>
      <c r="L89" s="71">
        <f>+K89*(1+L90)</f>
        <v>955.50958200000014</v>
      </c>
      <c r="M89" s="71">
        <f>+L89*(1+M90)</f>
        <v>754.85256978000018</v>
      </c>
      <c r="N89" s="71">
        <f>+M89*(1+N90)</f>
        <v>596.33353012620012</v>
      </c>
    </row>
    <row r="90" spans="1:14" x14ac:dyDescent="0.3">
      <c r="A90" s="72" t="s">
        <v>129</v>
      </c>
      <c r="B90" s="73" t="str">
        <f t="shared" ref="B90:I90" si="191">+IFERROR(B89/A89-1,"nm")</f>
        <v>nm</v>
      </c>
      <c r="C90" s="73">
        <f t="shared" si="191"/>
        <v>0.14054054054054044</v>
      </c>
      <c r="D90" s="73">
        <f t="shared" si="191"/>
        <v>0.12606635071090055</v>
      </c>
      <c r="E90" s="73">
        <f t="shared" si="191"/>
        <v>0.26936026936026947</v>
      </c>
      <c r="F90" s="73">
        <f t="shared" si="191"/>
        <v>0.19893899204244025</v>
      </c>
      <c r="G90" s="73">
        <f t="shared" si="191"/>
        <v>4.8672566371681381E-2</v>
      </c>
      <c r="H90" s="73">
        <f t="shared" si="191"/>
        <v>0.2378691983122363</v>
      </c>
      <c r="I90" s="73">
        <f t="shared" si="191"/>
        <v>-0.17426501917341286</v>
      </c>
      <c r="J90" s="73">
        <f>+J91+J92</f>
        <v>-0.21</v>
      </c>
      <c r="K90" s="73">
        <f>+K91+K92</f>
        <v>-0.21</v>
      </c>
      <c r="L90" s="73">
        <f>+L91+L92</f>
        <v>-0.21</v>
      </c>
      <c r="M90" s="73">
        <f>+M91+M92</f>
        <v>-0.21</v>
      </c>
      <c r="N90" s="73">
        <f>+N91+N92</f>
        <v>-0.21</v>
      </c>
    </row>
    <row r="91" spans="1:14" x14ac:dyDescent="0.3">
      <c r="A91" s="72" t="s">
        <v>137</v>
      </c>
      <c r="B91" s="73">
        <f>Historicals!B189</f>
        <v>7.0000000000000007E-2</v>
      </c>
      <c r="C91" s="73">
        <f>Historicals!C189</f>
        <v>0.17</v>
      </c>
      <c r="D91" s="73">
        <f>Historicals!D189</f>
        <v>0.18</v>
      </c>
      <c r="E91" s="73">
        <f>Historicals!E189</f>
        <v>0.23</v>
      </c>
      <c r="F91" s="73">
        <f>Historicals!F189</f>
        <v>0.23</v>
      </c>
      <c r="G91" s="73">
        <f>Historicals!G189</f>
        <v>0.08</v>
      </c>
      <c r="H91" s="73">
        <f>Historicals!H189</f>
        <v>0.19</v>
      </c>
      <c r="I91" s="73">
        <f>Historicals!I189</f>
        <v>-0.21</v>
      </c>
      <c r="J91" s="85">
        <f>I91</f>
        <v>-0.21</v>
      </c>
      <c r="K91" s="85">
        <f t="shared" ref="K91:N92" si="192">+J91</f>
        <v>-0.21</v>
      </c>
      <c r="L91" s="85">
        <f t="shared" si="192"/>
        <v>-0.21</v>
      </c>
      <c r="M91" s="85">
        <f t="shared" si="192"/>
        <v>-0.21</v>
      </c>
      <c r="N91" s="85">
        <f t="shared" si="192"/>
        <v>-0.21</v>
      </c>
    </row>
    <row r="92" spans="1:14" x14ac:dyDescent="0.3">
      <c r="A92" s="72" t="s">
        <v>138</v>
      </c>
      <c r="B92" s="73" t="str">
        <f t="shared" ref="B92:I92" si="193">+IFERROR(B90-B91,"nm")</f>
        <v>nm</v>
      </c>
      <c r="C92" s="73">
        <f t="shared" si="193"/>
        <v>-2.9459459459459575E-2</v>
      </c>
      <c r="D92" s="73">
        <f t="shared" si="193"/>
        <v>-5.3933649289099439E-2</v>
      </c>
      <c r="E92" s="73">
        <f t="shared" si="193"/>
        <v>3.9360269360269456E-2</v>
      </c>
      <c r="F92" s="73">
        <f t="shared" si="193"/>
        <v>-3.1061007957559755E-2</v>
      </c>
      <c r="G92" s="73">
        <f t="shared" si="193"/>
        <v>-3.1327433628318621E-2</v>
      </c>
      <c r="H92" s="73">
        <f t="shared" si="193"/>
        <v>4.7869198312236294E-2</v>
      </c>
      <c r="I92" s="73">
        <f t="shared" si="193"/>
        <v>3.5734980826587132E-2</v>
      </c>
      <c r="J92" s="75">
        <v>0</v>
      </c>
      <c r="K92" s="75">
        <f t="shared" si="192"/>
        <v>0</v>
      </c>
      <c r="L92" s="75">
        <f t="shared" si="192"/>
        <v>0</v>
      </c>
      <c r="M92" s="75">
        <f t="shared" si="192"/>
        <v>0</v>
      </c>
      <c r="N92" s="75">
        <f t="shared" si="192"/>
        <v>0</v>
      </c>
    </row>
    <row r="93" spans="1:14" x14ac:dyDescent="0.3">
      <c r="A93" s="74" t="s">
        <v>115</v>
      </c>
      <c r="B93" s="71">
        <f>+Historicals!B118</f>
        <v>126</v>
      </c>
      <c r="C93" s="71">
        <f>+Historicals!C118</f>
        <v>131</v>
      </c>
      <c r="D93" s="71">
        <f>+Historicals!D118</f>
        <v>129</v>
      </c>
      <c r="E93" s="71">
        <f>+Historicals!E118</f>
        <v>130</v>
      </c>
      <c r="F93" s="71">
        <f>+Historicals!F118</f>
        <v>138</v>
      </c>
      <c r="G93" s="71">
        <f>+Historicals!G118</f>
        <v>148</v>
      </c>
      <c r="H93" s="71">
        <f>+Historicals!H118</f>
        <v>195</v>
      </c>
      <c r="I93" s="71">
        <f>+Historicals!I118</f>
        <v>193</v>
      </c>
      <c r="J93" s="71">
        <f>+I93*(1+J94)</f>
        <v>181.42</v>
      </c>
      <c r="K93" s="71">
        <f>+J93*(1+K94)</f>
        <v>170.53479999999999</v>
      </c>
      <c r="L93" s="71">
        <f>+K93*(1+L94)</f>
        <v>160.30271199999999</v>
      </c>
      <c r="M93" s="71">
        <f>+L93*(1+M94)</f>
        <v>150.68454927999997</v>
      </c>
      <c r="N93" s="71">
        <f>+M93*(1+N94)</f>
        <v>141.64347632319996</v>
      </c>
    </row>
    <row r="94" spans="1:14" x14ac:dyDescent="0.3">
      <c r="A94" s="72" t="s">
        <v>129</v>
      </c>
      <c r="B94" s="73" t="str">
        <f t="shared" ref="B94:I94" si="194">+IFERROR(B93/A93-1,"nm")</f>
        <v>nm</v>
      </c>
      <c r="C94" s="73">
        <f t="shared" si="194"/>
        <v>3.9682539682539764E-2</v>
      </c>
      <c r="D94" s="73">
        <f t="shared" si="194"/>
        <v>-1.5267175572519109E-2</v>
      </c>
      <c r="E94" s="73">
        <f t="shared" si="194"/>
        <v>7.7519379844961378E-3</v>
      </c>
      <c r="F94" s="73">
        <f t="shared" si="194"/>
        <v>6.1538461538461542E-2</v>
      </c>
      <c r="G94" s="73">
        <f t="shared" si="194"/>
        <v>7.2463768115942129E-2</v>
      </c>
      <c r="H94" s="73">
        <f t="shared" si="194"/>
        <v>0.31756756756756754</v>
      </c>
      <c r="I94" s="73">
        <f t="shared" si="194"/>
        <v>-1.025641025641022E-2</v>
      </c>
      <c r="J94" s="73">
        <f>+J95+J96</f>
        <v>-0.06</v>
      </c>
      <c r="K94" s="73">
        <f>+K95+K96</f>
        <v>-0.06</v>
      </c>
      <c r="L94" s="73">
        <f>+L95+L96</f>
        <v>-0.06</v>
      </c>
      <c r="M94" s="73">
        <f>+M95+M96</f>
        <v>-0.06</v>
      </c>
      <c r="N94" s="73">
        <f>+N95+N96</f>
        <v>-0.06</v>
      </c>
    </row>
    <row r="95" spans="1:14" x14ac:dyDescent="0.3">
      <c r="A95" s="72" t="s">
        <v>137</v>
      </c>
      <c r="B95" s="73">
        <f>+Historicals!B190</f>
        <v>0.01</v>
      </c>
      <c r="C95" s="73">
        <f>+Historicals!C190</f>
        <v>7.0000000000000007E-2</v>
      </c>
      <c r="D95" s="73">
        <f>+Historicals!D190</f>
        <v>0.03</v>
      </c>
      <c r="E95" s="73">
        <f>+Historicals!E190</f>
        <v>-0.01</v>
      </c>
      <c r="F95" s="73">
        <f>+Historicals!F190</f>
        <v>0.08</v>
      </c>
      <c r="G95" s="73">
        <f>+Historicals!G190</f>
        <v>0.11</v>
      </c>
      <c r="H95" s="73">
        <f>+Historicals!H190</f>
        <v>0.26</v>
      </c>
      <c r="I95" s="73">
        <f>+Historicals!I190</f>
        <v>-0.06</v>
      </c>
      <c r="J95" s="85">
        <f>I95</f>
        <v>-0.06</v>
      </c>
      <c r="K95" s="85">
        <f t="shared" ref="K95:N96" si="195">+J95</f>
        <v>-0.06</v>
      </c>
      <c r="L95" s="85">
        <f t="shared" si="195"/>
        <v>-0.06</v>
      </c>
      <c r="M95" s="85">
        <f t="shared" si="195"/>
        <v>-0.06</v>
      </c>
      <c r="N95" s="85">
        <f t="shared" si="195"/>
        <v>-0.06</v>
      </c>
    </row>
    <row r="96" spans="1:14" x14ac:dyDescent="0.3">
      <c r="A96" s="72" t="s">
        <v>138</v>
      </c>
      <c r="B96" s="73" t="str">
        <f t="shared" ref="B96:I96" si="196">+IFERROR(B94-B95,"nm")</f>
        <v>nm</v>
      </c>
      <c r="C96" s="73">
        <f t="shared" si="196"/>
        <v>-3.0317460317460243E-2</v>
      </c>
      <c r="D96" s="73">
        <f t="shared" si="196"/>
        <v>-4.5267175572519108E-2</v>
      </c>
      <c r="E96" s="73">
        <f t="shared" si="196"/>
        <v>1.775193798449614E-2</v>
      </c>
      <c r="F96" s="73">
        <f t="shared" si="196"/>
        <v>-1.846153846153846E-2</v>
      </c>
      <c r="G96" s="73">
        <f t="shared" si="196"/>
        <v>-3.7536231884057872E-2</v>
      </c>
      <c r="H96" s="73">
        <f t="shared" si="196"/>
        <v>5.7567567567567535E-2</v>
      </c>
      <c r="I96" s="73">
        <f t="shared" si="196"/>
        <v>4.9743589743589778E-2</v>
      </c>
      <c r="J96" s="75">
        <v>0</v>
      </c>
      <c r="K96" s="75">
        <f t="shared" si="195"/>
        <v>0</v>
      </c>
      <c r="L96" s="75">
        <f t="shared" si="195"/>
        <v>0</v>
      </c>
      <c r="M96" s="75">
        <f t="shared" si="195"/>
        <v>0</v>
      </c>
      <c r="N96" s="75">
        <f t="shared" si="195"/>
        <v>0</v>
      </c>
    </row>
    <row r="97" spans="1:14" x14ac:dyDescent="0.3">
      <c r="A97" s="71" t="s">
        <v>130</v>
      </c>
      <c r="B97" s="76">
        <f t="shared" ref="B97:I97" si="197">+B104+B100</f>
        <v>1039</v>
      </c>
      <c r="C97" s="76">
        <f t="shared" si="197"/>
        <v>1420</v>
      </c>
      <c r="D97" s="76">
        <f t="shared" si="197"/>
        <v>1561</v>
      </c>
      <c r="E97" s="76">
        <f t="shared" si="197"/>
        <v>1863</v>
      </c>
      <c r="F97" s="76">
        <f t="shared" si="197"/>
        <v>2426</v>
      </c>
      <c r="G97" s="76">
        <f t="shared" si="197"/>
        <v>2534</v>
      </c>
      <c r="H97" s="76">
        <f t="shared" si="197"/>
        <v>3289</v>
      </c>
      <c r="I97" s="76">
        <f t="shared" si="197"/>
        <v>2406</v>
      </c>
      <c r="J97" s="76">
        <f>+J83*J99</f>
        <v>2099.8989055253742</v>
      </c>
      <c r="K97" s="76">
        <f>+K83*K99</f>
        <v>1838.5323232542735</v>
      </c>
      <c r="L97" s="76">
        <f>+L83*L99</f>
        <v>1614.4385270125881</v>
      </c>
      <c r="M97" s="76">
        <f>+M83*M99</f>
        <v>1421.5308300064085</v>
      </c>
      <c r="N97" s="76">
        <f>+N83*N99</f>
        <v>1254.8279391224669</v>
      </c>
    </row>
    <row r="98" spans="1:14" x14ac:dyDescent="0.3">
      <c r="A98" s="77" t="s">
        <v>129</v>
      </c>
      <c r="B98" s="73" t="str">
        <f t="shared" ref="B98:N98" si="198">+IFERROR(B97/A97-1,"nm")</f>
        <v>nm</v>
      </c>
      <c r="C98" s="73">
        <f t="shared" si="198"/>
        <v>0.36669874879692022</v>
      </c>
      <c r="D98" s="73">
        <f t="shared" si="198"/>
        <v>9.9295774647887303E-2</v>
      </c>
      <c r="E98" s="73">
        <f t="shared" si="198"/>
        <v>0.19346572709801402</v>
      </c>
      <c r="F98" s="73">
        <f t="shared" si="198"/>
        <v>0.3022007514761138</v>
      </c>
      <c r="G98" s="73">
        <f t="shared" si="198"/>
        <v>4.4517724649629109E-2</v>
      </c>
      <c r="H98" s="73">
        <f t="shared" si="198"/>
        <v>0.29794790844514596</v>
      </c>
      <c r="I98" s="73">
        <f t="shared" si="198"/>
        <v>-0.26847065977500761</v>
      </c>
      <c r="J98" s="73">
        <f t="shared" si="198"/>
        <v>-0.12722406254140728</v>
      </c>
      <c r="K98" s="73">
        <f t="shared" si="198"/>
        <v>-0.12446626910627845</v>
      </c>
      <c r="L98" s="73">
        <f t="shared" si="198"/>
        <v>-0.12188733013136843</v>
      </c>
      <c r="M98" s="73">
        <f t="shared" si="198"/>
        <v>-0.11948903211765061</v>
      </c>
      <c r="N98" s="73">
        <f t="shared" si="198"/>
        <v>-0.11726997921191062</v>
      </c>
    </row>
    <row r="99" spans="1:14" x14ac:dyDescent="0.3">
      <c r="A99" s="77" t="s">
        <v>131</v>
      </c>
      <c r="B99" s="73">
        <f t="shared" ref="B99:I99" si="199">+IFERROR(B97/B$83,"nm")</f>
        <v>0.33876752526899251</v>
      </c>
      <c r="C99" s="73">
        <f t="shared" si="199"/>
        <v>0.37516512549537651</v>
      </c>
      <c r="D99" s="73">
        <f t="shared" si="199"/>
        <v>0.36842105263157893</v>
      </c>
      <c r="E99" s="73">
        <f t="shared" si="199"/>
        <v>0.36287495130502534</v>
      </c>
      <c r="F99" s="73">
        <f t="shared" si="199"/>
        <v>0.3907860824742268</v>
      </c>
      <c r="G99" s="73">
        <f t="shared" si="199"/>
        <v>0.37939811349004343</v>
      </c>
      <c r="H99" s="73">
        <f t="shared" si="199"/>
        <v>0.39674306393244874</v>
      </c>
      <c r="I99" s="73">
        <f t="shared" si="199"/>
        <v>0.31880217304889358</v>
      </c>
      <c r="J99" s="85">
        <f>+I99</f>
        <v>0.31880217304889358</v>
      </c>
      <c r="K99" s="85">
        <f>+J99</f>
        <v>0.31880217304889358</v>
      </c>
      <c r="L99" s="85">
        <f>+K99</f>
        <v>0.31880217304889358</v>
      </c>
      <c r="M99" s="85">
        <f>+L99</f>
        <v>0.31880217304889358</v>
      </c>
      <c r="N99" s="85">
        <f>+M99</f>
        <v>0.31880217304889358</v>
      </c>
    </row>
    <row r="100" spans="1:14" x14ac:dyDescent="0.3">
      <c r="A100" s="71" t="s">
        <v>132</v>
      </c>
      <c r="B100" s="71">
        <f>Historicals!B169</f>
        <v>46</v>
      </c>
      <c r="C100" s="71">
        <f>Historicals!C169</f>
        <v>48</v>
      </c>
      <c r="D100" s="71">
        <f>Historicals!D169</f>
        <v>54</v>
      </c>
      <c r="E100" s="71">
        <f>Historicals!E169</f>
        <v>56</v>
      </c>
      <c r="F100" s="71">
        <f>Historicals!F169</f>
        <v>50</v>
      </c>
      <c r="G100" s="71">
        <f>Historicals!G169</f>
        <v>44</v>
      </c>
      <c r="H100" s="71">
        <f>Historicals!H169</f>
        <v>46</v>
      </c>
      <c r="I100" s="71">
        <f>Historicals!I169</f>
        <v>41</v>
      </c>
      <c r="J100" s="76">
        <f>+J103*J110</f>
        <v>35.783813435802308</v>
      </c>
      <c r="K100" s="76">
        <f>+K103*K110</f>
        <v>31.329935683052874</v>
      </c>
      <c r="L100" s="76">
        <f>+L103*L110</f>
        <v>27.51121346945807</v>
      </c>
      <c r="M100" s="76">
        <f>+M103*M110</f>
        <v>24.223925199610452</v>
      </c>
      <c r="N100" s="76">
        <f>+N103*N110</f>
        <v>21.383185995021257</v>
      </c>
    </row>
    <row r="101" spans="1:14" x14ac:dyDescent="0.3">
      <c r="A101" s="77" t="s">
        <v>129</v>
      </c>
      <c r="B101" s="73" t="str">
        <f t="shared" ref="B101:N101" si="200">+IFERROR(B100/A100-1,"nm")</f>
        <v>nm</v>
      </c>
      <c r="C101" s="73">
        <f t="shared" si="200"/>
        <v>4.3478260869565188E-2</v>
      </c>
      <c r="D101" s="73">
        <f t="shared" si="200"/>
        <v>0.125</v>
      </c>
      <c r="E101" s="73">
        <f t="shared" si="200"/>
        <v>3.7037037037036979E-2</v>
      </c>
      <c r="F101" s="73">
        <f t="shared" si="200"/>
        <v>-0.1071428571428571</v>
      </c>
      <c r="G101" s="73">
        <f t="shared" si="200"/>
        <v>-0.12</v>
      </c>
      <c r="H101" s="73">
        <f t="shared" si="200"/>
        <v>4.5454545454545414E-2</v>
      </c>
      <c r="I101" s="73">
        <f t="shared" si="200"/>
        <v>-0.10869565217391308</v>
      </c>
      <c r="J101" s="73">
        <f t="shared" si="200"/>
        <v>-0.12722406254140717</v>
      </c>
      <c r="K101" s="73">
        <f t="shared" si="200"/>
        <v>-0.12446626910627856</v>
      </c>
      <c r="L101" s="73">
        <f t="shared" si="200"/>
        <v>-0.12188733013136832</v>
      </c>
      <c r="M101" s="73">
        <f t="shared" si="200"/>
        <v>-0.11948903211765061</v>
      </c>
      <c r="N101" s="73">
        <f t="shared" si="200"/>
        <v>-0.11726997921191062</v>
      </c>
    </row>
    <row r="102" spans="1:14" x14ac:dyDescent="0.3">
      <c r="A102" s="77" t="s">
        <v>133</v>
      </c>
      <c r="B102" s="73">
        <f t="shared" ref="B102:I102" si="201">+IFERROR(B100/B$83,"nm")</f>
        <v>1.4998369742419302E-2</v>
      </c>
      <c r="C102" s="73">
        <f t="shared" si="201"/>
        <v>1.2681638044914135E-2</v>
      </c>
      <c r="D102" s="73">
        <f t="shared" si="201"/>
        <v>1.2744866650932263E-2</v>
      </c>
      <c r="E102" s="73">
        <f t="shared" si="201"/>
        <v>1.090767432800935E-2</v>
      </c>
      <c r="F102" s="73">
        <f t="shared" si="201"/>
        <v>8.0541237113402053E-3</v>
      </c>
      <c r="G102" s="73">
        <f t="shared" si="201"/>
        <v>6.5878125467884411E-3</v>
      </c>
      <c r="H102" s="73">
        <f t="shared" si="201"/>
        <v>5.5488540410132689E-3</v>
      </c>
      <c r="I102" s="73">
        <f t="shared" si="201"/>
        <v>5.4326222340002651E-3</v>
      </c>
      <c r="J102" s="73">
        <f>+IFERROR(J100/J$21,"nm")</f>
        <v>1.8241291290636357E-3</v>
      </c>
      <c r="K102" s="73">
        <f>+IFERROR(K100/K$21,"nm")</f>
        <v>1.4922230458730105E-3</v>
      </c>
      <c r="L102" s="73">
        <f>+IFERROR(L100/L$21,"nm")</f>
        <v>1.2224996851798039E-3</v>
      </c>
      <c r="M102" s="73">
        <f>+IFERROR(M100/M$21,"nm")</f>
        <v>1.0026033006297456E-3</v>
      </c>
      <c r="N102" s="73">
        <f>+IFERROR(N100/N$21,"nm")</f>
        <v>8.2280187113591412E-4</v>
      </c>
    </row>
    <row r="103" spans="1:14" x14ac:dyDescent="0.3">
      <c r="A103" s="77" t="s">
        <v>140</v>
      </c>
      <c r="B103" s="73">
        <f t="shared" ref="B103:I103" si="202">+IFERROR(B100/B110,"nm")</f>
        <v>0.18110236220472442</v>
      </c>
      <c r="C103" s="73">
        <f t="shared" si="202"/>
        <v>0.20512820512820512</v>
      </c>
      <c r="D103" s="73">
        <f t="shared" si="202"/>
        <v>0.24</v>
      </c>
      <c r="E103" s="73">
        <f t="shared" si="202"/>
        <v>0.21875</v>
      </c>
      <c r="F103" s="73">
        <f t="shared" si="202"/>
        <v>0.2109704641350211</v>
      </c>
      <c r="G103" s="73">
        <f t="shared" si="202"/>
        <v>0.20560747663551401</v>
      </c>
      <c r="H103" s="73">
        <f t="shared" si="202"/>
        <v>0.15972222222222221</v>
      </c>
      <c r="I103" s="73">
        <f t="shared" si="202"/>
        <v>0.13531353135313531</v>
      </c>
      <c r="J103" s="85">
        <f>+I103</f>
        <v>0.13531353135313531</v>
      </c>
      <c r="K103" s="85">
        <f>+J103</f>
        <v>0.13531353135313531</v>
      </c>
      <c r="L103" s="85">
        <f>+K103</f>
        <v>0.13531353135313531</v>
      </c>
      <c r="M103" s="85">
        <f>+L103</f>
        <v>0.13531353135313531</v>
      </c>
      <c r="N103" s="85">
        <f>+M103</f>
        <v>0.13531353135313531</v>
      </c>
    </row>
    <row r="104" spans="1:14" x14ac:dyDescent="0.3">
      <c r="A104" s="71" t="s">
        <v>134</v>
      </c>
      <c r="B104" s="71">
        <f>+Historicals!B136</f>
        <v>993</v>
      </c>
      <c r="C104" s="71">
        <f>+Historicals!C136</f>
        <v>1372</v>
      </c>
      <c r="D104" s="71">
        <f>+Historicals!D136</f>
        <v>1507</v>
      </c>
      <c r="E104" s="71">
        <f>+Historicals!E136</f>
        <v>1807</v>
      </c>
      <c r="F104" s="71">
        <f>+Historicals!F136</f>
        <v>2376</v>
      </c>
      <c r="G104" s="71">
        <f>+Historicals!G136</f>
        <v>2490</v>
      </c>
      <c r="H104" s="71">
        <f>+Historicals!H136</f>
        <v>3243</v>
      </c>
      <c r="I104" s="71">
        <f>+Historicals!I136</f>
        <v>2365</v>
      </c>
      <c r="J104" s="71">
        <f>+J97-J100</f>
        <v>2064.115092089572</v>
      </c>
      <c r="K104" s="71">
        <f>+K97-K100</f>
        <v>1807.2023875712207</v>
      </c>
      <c r="L104" s="71">
        <f>+L97-L100</f>
        <v>1586.9273135431301</v>
      </c>
      <c r="M104" s="71">
        <f>+M97-M100</f>
        <v>1397.306904806798</v>
      </c>
      <c r="N104" s="71">
        <f>+N97-N100</f>
        <v>1233.4447531274457</v>
      </c>
    </row>
    <row r="105" spans="1:14" x14ac:dyDescent="0.3">
      <c r="A105" s="77" t="s">
        <v>129</v>
      </c>
      <c r="B105" s="73" t="str">
        <f t="shared" ref="B105:N105" si="203">+IFERROR(B104/A104-1,"nm")</f>
        <v>nm</v>
      </c>
      <c r="C105" s="73">
        <f t="shared" si="203"/>
        <v>0.38167170191339372</v>
      </c>
      <c r="D105" s="73">
        <f t="shared" si="203"/>
        <v>9.8396501457725938E-2</v>
      </c>
      <c r="E105" s="73">
        <f t="shared" si="203"/>
        <v>0.19907100199071004</v>
      </c>
      <c r="F105" s="73">
        <f t="shared" si="203"/>
        <v>0.31488655229662421</v>
      </c>
      <c r="G105" s="73">
        <f t="shared" si="203"/>
        <v>4.7979797979798011E-2</v>
      </c>
      <c r="H105" s="73">
        <f t="shared" si="203"/>
        <v>0.30240963855421676</v>
      </c>
      <c r="I105" s="73">
        <f t="shared" si="203"/>
        <v>-0.27073697193956214</v>
      </c>
      <c r="J105" s="73">
        <f t="shared" si="203"/>
        <v>-0.12722406254140717</v>
      </c>
      <c r="K105" s="73">
        <f t="shared" si="203"/>
        <v>-0.12446626910627845</v>
      </c>
      <c r="L105" s="73">
        <f t="shared" si="203"/>
        <v>-0.12188733013136843</v>
      </c>
      <c r="M105" s="73">
        <f t="shared" si="203"/>
        <v>-0.11948903211765061</v>
      </c>
      <c r="N105" s="73">
        <f t="shared" si="203"/>
        <v>-0.11726997921191062</v>
      </c>
    </row>
    <row r="106" spans="1:14" x14ac:dyDescent="0.3">
      <c r="A106" s="77" t="s">
        <v>131</v>
      </c>
      <c r="B106" s="73">
        <f t="shared" ref="B106:I106" si="204">+IFERROR(B104/B$83,"nm")</f>
        <v>0.3237691555265732</v>
      </c>
      <c r="C106" s="73">
        <f t="shared" si="204"/>
        <v>0.36248348745046233</v>
      </c>
      <c r="D106" s="73">
        <f t="shared" si="204"/>
        <v>0.35567618598064671</v>
      </c>
      <c r="E106" s="73">
        <f t="shared" si="204"/>
        <v>0.35196727697701596</v>
      </c>
      <c r="F106" s="73">
        <f t="shared" si="204"/>
        <v>0.38273195876288657</v>
      </c>
      <c r="G106" s="73">
        <f t="shared" si="204"/>
        <v>0.37281030094325496</v>
      </c>
      <c r="H106" s="73">
        <f t="shared" si="204"/>
        <v>0.39119420989143544</v>
      </c>
      <c r="I106" s="73">
        <f t="shared" si="204"/>
        <v>0.31336955081489332</v>
      </c>
      <c r="J106" s="78">
        <f>+IFERROR(J104/J$21,"nm")</f>
        <v>0.10522110707891459</v>
      </c>
      <c r="K106" s="78">
        <f>+IFERROR(K104/K$21,"nm")</f>
        <v>8.6075792768040726E-2</v>
      </c>
      <c r="L106" s="78">
        <f>+IFERROR(L104/L$21,"nm")</f>
        <v>7.0517359889030157E-2</v>
      </c>
      <c r="M106" s="78">
        <f>+IFERROR(M104/M$21,"nm")</f>
        <v>5.7833092829008496E-2</v>
      </c>
      <c r="N106" s="78">
        <f>+IFERROR(N104/N$21,"nm")</f>
        <v>4.7461620127717971E-2</v>
      </c>
    </row>
    <row r="107" spans="1:14" x14ac:dyDescent="0.3">
      <c r="A107" s="71" t="s">
        <v>135</v>
      </c>
      <c r="B107" s="71">
        <f>+Historicals!B158</f>
        <v>69</v>
      </c>
      <c r="C107" s="71">
        <f>+Historicals!C158</f>
        <v>44</v>
      </c>
      <c r="D107" s="71">
        <f>+Historicals!D158</f>
        <v>51</v>
      </c>
      <c r="E107" s="71">
        <f>+Historicals!E158</f>
        <v>76</v>
      </c>
      <c r="F107" s="71">
        <f>+Historicals!F158</f>
        <v>49</v>
      </c>
      <c r="G107" s="71">
        <f>+Historicals!G158</f>
        <v>28</v>
      </c>
      <c r="H107" s="71">
        <f>+Historicals!H158</f>
        <v>94</v>
      </c>
      <c r="I107" s="71">
        <f>+Historicals!I158</f>
        <v>78</v>
      </c>
      <c r="J107" s="76">
        <f>+J83*J109</f>
        <v>68.076523121770236</v>
      </c>
      <c r="K107" s="76">
        <f>+K83*K109</f>
        <v>59.6032922750762</v>
      </c>
      <c r="L107" s="76">
        <f>+L83*L109</f>
        <v>52.338406112627545</v>
      </c>
      <c r="M107" s="76">
        <f>+M83*M109</f>
        <v>46.084540623649154</v>
      </c>
      <c r="N107" s="76">
        <f>+N83*N109</f>
        <v>40.68020750272337</v>
      </c>
    </row>
    <row r="108" spans="1:14" x14ac:dyDescent="0.3">
      <c r="A108" s="77" t="s">
        <v>129</v>
      </c>
      <c r="B108" s="73" t="str">
        <f t="shared" ref="B108:N108" si="205">+IFERROR(B107/A107-1,"nm")</f>
        <v>nm</v>
      </c>
      <c r="C108" s="73">
        <f t="shared" si="205"/>
        <v>-0.3623188405797102</v>
      </c>
      <c r="D108" s="73">
        <f t="shared" si="205"/>
        <v>0.15909090909090917</v>
      </c>
      <c r="E108" s="73">
        <f t="shared" si="205"/>
        <v>0.49019607843137258</v>
      </c>
      <c r="F108" s="73">
        <f t="shared" si="205"/>
        <v>-0.35526315789473684</v>
      </c>
      <c r="G108" s="73">
        <f t="shared" si="205"/>
        <v>-0.4285714285714286</v>
      </c>
      <c r="H108" s="73">
        <f t="shared" si="205"/>
        <v>2.3571428571428572</v>
      </c>
      <c r="I108" s="73">
        <f t="shared" si="205"/>
        <v>-0.17021276595744683</v>
      </c>
      <c r="J108" s="73">
        <f t="shared" si="205"/>
        <v>-0.12722406254140728</v>
      </c>
      <c r="K108" s="73">
        <f t="shared" si="205"/>
        <v>-0.12446626910627834</v>
      </c>
      <c r="L108" s="73">
        <f t="shared" si="205"/>
        <v>-0.12188733013136843</v>
      </c>
      <c r="M108" s="73">
        <f t="shared" si="205"/>
        <v>-0.11948903211765061</v>
      </c>
      <c r="N108" s="73">
        <f t="shared" si="205"/>
        <v>-0.11726997921191051</v>
      </c>
    </row>
    <row r="109" spans="1:14" x14ac:dyDescent="0.3">
      <c r="A109" s="77" t="s">
        <v>133</v>
      </c>
      <c r="B109" s="73">
        <f t="shared" ref="B109:I109" si="206">+IFERROR(B107/B$83,"nm")</f>
        <v>2.2497554613628953E-2</v>
      </c>
      <c r="C109" s="73">
        <f t="shared" si="206"/>
        <v>1.1624834874504624E-2</v>
      </c>
      <c r="D109" s="73">
        <f t="shared" si="206"/>
        <v>1.2036818503658248E-2</v>
      </c>
      <c r="E109" s="73">
        <f t="shared" si="206"/>
        <v>1.4803272302298403E-2</v>
      </c>
      <c r="F109" s="73">
        <f t="shared" si="206"/>
        <v>7.8930412371134018E-3</v>
      </c>
      <c r="G109" s="73">
        <f t="shared" si="206"/>
        <v>4.1922443479562805E-3</v>
      </c>
      <c r="H109" s="73">
        <f t="shared" si="206"/>
        <v>1.1338962605548853E-2</v>
      </c>
      <c r="I109" s="73">
        <f t="shared" si="206"/>
        <v>1.0335232542732211E-2</v>
      </c>
      <c r="J109" s="85">
        <f>+I109</f>
        <v>1.0335232542732211E-2</v>
      </c>
      <c r="K109" s="85">
        <f>+J109</f>
        <v>1.0335232542732211E-2</v>
      </c>
      <c r="L109" s="85">
        <f>+K109</f>
        <v>1.0335232542732211E-2</v>
      </c>
      <c r="M109" s="85">
        <f>+L109</f>
        <v>1.0335232542732211E-2</v>
      </c>
      <c r="N109" s="85">
        <f>+M109</f>
        <v>1.0335232542732211E-2</v>
      </c>
    </row>
    <row r="110" spans="1:14" x14ac:dyDescent="0.3">
      <c r="A110" s="71" t="s">
        <v>141</v>
      </c>
      <c r="B110" s="71">
        <f>Historicals!B147</f>
        <v>254</v>
      </c>
      <c r="C110" s="71">
        <f>Historicals!C147</f>
        <v>234</v>
      </c>
      <c r="D110" s="71">
        <f>Historicals!D147</f>
        <v>225</v>
      </c>
      <c r="E110" s="71">
        <f>Historicals!E147</f>
        <v>256</v>
      </c>
      <c r="F110" s="71">
        <f>Historicals!F147</f>
        <v>237</v>
      </c>
      <c r="G110" s="71">
        <f>Historicals!G147</f>
        <v>214</v>
      </c>
      <c r="H110" s="71">
        <f>Historicals!H147</f>
        <v>288</v>
      </c>
      <c r="I110" s="71">
        <f>Historicals!I147</f>
        <v>303</v>
      </c>
      <c r="J110" s="76">
        <f>+J83*J112</f>
        <v>264.45110904995363</v>
      </c>
      <c r="K110" s="76">
        <f>+K83*K112</f>
        <v>231.53586614548831</v>
      </c>
      <c r="L110" s="76">
        <f>+L83*L112</f>
        <v>203.31457759136086</v>
      </c>
      <c r="M110" s="76">
        <f>+M83*M112</f>
        <v>179.02071549956017</v>
      </c>
      <c r="N110" s="76">
        <f>+N83*N112</f>
        <v>158.02695991442539</v>
      </c>
    </row>
    <row r="111" spans="1:14" x14ac:dyDescent="0.3">
      <c r="A111" s="77" t="s">
        <v>129</v>
      </c>
      <c r="B111" s="73" t="str">
        <f t="shared" ref="B111:I111" si="207">+IFERROR(B110/A110-1,"nm")</f>
        <v>nm</v>
      </c>
      <c r="C111" s="73">
        <f t="shared" si="207"/>
        <v>-7.8740157480314932E-2</v>
      </c>
      <c r="D111" s="73">
        <f t="shared" si="207"/>
        <v>-3.8461538461538436E-2</v>
      </c>
      <c r="E111" s="73">
        <f t="shared" si="207"/>
        <v>0.13777777777777778</v>
      </c>
      <c r="F111" s="73">
        <f t="shared" si="207"/>
        <v>-7.421875E-2</v>
      </c>
      <c r="G111" s="73">
        <f t="shared" si="207"/>
        <v>-9.7046413502109741E-2</v>
      </c>
      <c r="H111" s="73">
        <f t="shared" si="207"/>
        <v>0.34579439252336441</v>
      </c>
      <c r="I111" s="73">
        <f t="shared" si="207"/>
        <v>5.2083333333333259E-2</v>
      </c>
      <c r="J111" s="73">
        <f t="shared" ref="J111" si="208">+IFERROR(J110/I110-1,"nm")</f>
        <v>-0.12722406254140717</v>
      </c>
      <c r="K111" s="73">
        <f t="shared" ref="K111" si="209">+IFERROR(K110/J110-1,"nm")</f>
        <v>-0.12446626910627845</v>
      </c>
      <c r="L111" s="73">
        <f t="shared" ref="L111" si="210">+IFERROR(L110/K110-1,"nm")</f>
        <v>-0.12188733013136843</v>
      </c>
      <c r="M111" s="73">
        <f t="shared" ref="M111" si="211">+IFERROR(M110/L110-1,"nm")</f>
        <v>-0.11948903211765061</v>
      </c>
      <c r="N111" s="73">
        <f t="shared" ref="N111" si="212">+IFERROR(N110/M110-1,"nm")</f>
        <v>-0.11726997921191062</v>
      </c>
    </row>
    <row r="112" spans="1:14" x14ac:dyDescent="0.3">
      <c r="A112" s="77" t="s">
        <v>133</v>
      </c>
      <c r="B112" s="73">
        <f t="shared" ref="B112:I112" si="213">+IFERROR(B110/B$83,"nm")</f>
        <v>8.2817085099445714E-2</v>
      </c>
      <c r="C112" s="73">
        <f t="shared" si="213"/>
        <v>6.1822985468956405E-2</v>
      </c>
      <c r="D112" s="73">
        <f t="shared" si="213"/>
        <v>5.31036110455511E-2</v>
      </c>
      <c r="E112" s="73">
        <f t="shared" si="213"/>
        <v>4.9863654070899883E-2</v>
      </c>
      <c r="F112" s="73">
        <f t="shared" si="213"/>
        <v>3.817654639175258E-2</v>
      </c>
      <c r="G112" s="73">
        <f t="shared" si="213"/>
        <v>3.2040724659380147E-2</v>
      </c>
      <c r="H112" s="73">
        <f t="shared" si="213"/>
        <v>3.4740651387213509E-2</v>
      </c>
      <c r="I112" s="73">
        <f t="shared" si="213"/>
        <v>4.0148403339075128E-2</v>
      </c>
      <c r="J112" s="85">
        <f>+I112</f>
        <v>4.0148403339075128E-2</v>
      </c>
      <c r="K112" s="85">
        <f>+J112</f>
        <v>4.0148403339075128E-2</v>
      </c>
      <c r="L112" s="85">
        <f>+K112</f>
        <v>4.0148403339075128E-2</v>
      </c>
      <c r="M112" s="85">
        <f>+L112</f>
        <v>4.0148403339075128E-2</v>
      </c>
      <c r="N112" s="85">
        <f>+M112</f>
        <v>4.0148403339075128E-2</v>
      </c>
    </row>
    <row r="113" spans="1:14" x14ac:dyDescent="0.3">
      <c r="A113" s="79" t="str">
        <f>+[1]Historicals!A195</f>
        <v>Asia Pacific &amp; Latin America</v>
      </c>
      <c r="B113" s="69"/>
      <c r="C113" s="69"/>
      <c r="D113" s="69"/>
      <c r="E113" s="69"/>
      <c r="F113" s="69"/>
      <c r="G113" s="69"/>
      <c r="H113" s="69"/>
      <c r="I113" s="69"/>
      <c r="J113" s="70"/>
      <c r="K113" s="70"/>
      <c r="L113" s="70"/>
      <c r="M113" s="70"/>
      <c r="N113" s="70"/>
    </row>
    <row r="114" spans="1:14" x14ac:dyDescent="0.3">
      <c r="A114" s="71" t="s">
        <v>136</v>
      </c>
      <c r="B114" s="71">
        <f t="shared" ref="B114:I114" si="214">B116+B120+B124</f>
        <v>4653</v>
      </c>
      <c r="C114" s="71">
        <f t="shared" si="214"/>
        <v>4317</v>
      </c>
      <c r="D114" s="71">
        <f t="shared" si="214"/>
        <v>4737</v>
      </c>
      <c r="E114" s="71">
        <f t="shared" si="214"/>
        <v>5166</v>
      </c>
      <c r="F114" s="71">
        <f t="shared" si="214"/>
        <v>5254</v>
      </c>
      <c r="G114" s="71">
        <f t="shared" si="214"/>
        <v>5028</v>
      </c>
      <c r="H114" s="71">
        <f t="shared" si="214"/>
        <v>5343</v>
      </c>
      <c r="I114" s="71">
        <f t="shared" si="214"/>
        <v>5955</v>
      </c>
      <c r="J114" s="71">
        <f>+SUM(J116+J120+J124)</f>
        <v>6912.59</v>
      </c>
      <c r="K114" s="71">
        <f>+SUM(K116+K120+K124)</f>
        <v>8030.5174999999999</v>
      </c>
      <c r="L114" s="71">
        <f>+SUM(L116+L120+L124)</f>
        <v>9336.8986909999985</v>
      </c>
      <c r="M114" s="71">
        <f>+SUM(M116+M120+M124)</f>
        <v>10865.05545695</v>
      </c>
      <c r="N114" s="71">
        <f>+SUM(N116+N120+N124)</f>
        <v>12654.541862525899</v>
      </c>
    </row>
    <row r="115" spans="1:14" x14ac:dyDescent="0.3">
      <c r="A115" s="72" t="s">
        <v>129</v>
      </c>
      <c r="B115" s="73" t="str">
        <f t="shared" ref="B115:N115" si="215">+IFERROR(B114/A114-1,"nm")</f>
        <v>nm</v>
      </c>
      <c r="C115" s="73">
        <f t="shared" si="215"/>
        <v>-7.2211476466795599E-2</v>
      </c>
      <c r="D115" s="73">
        <f t="shared" si="215"/>
        <v>9.7289784572619942E-2</v>
      </c>
      <c r="E115" s="73">
        <f t="shared" si="215"/>
        <v>9.0563647878403986E-2</v>
      </c>
      <c r="F115" s="73">
        <f t="shared" si="215"/>
        <v>1.7034456058846237E-2</v>
      </c>
      <c r="G115" s="73">
        <f t="shared" si="215"/>
        <v>-4.3014845831747195E-2</v>
      </c>
      <c r="H115" s="73">
        <f t="shared" si="215"/>
        <v>6.2649164677804237E-2</v>
      </c>
      <c r="I115" s="73">
        <f t="shared" si="215"/>
        <v>0.11454239191465465</v>
      </c>
      <c r="J115" s="73">
        <f t="shared" si="215"/>
        <v>0.16080436607892534</v>
      </c>
      <c r="K115" s="73">
        <f t="shared" si="215"/>
        <v>0.16172339166650995</v>
      </c>
      <c r="L115" s="73">
        <f t="shared" si="215"/>
        <v>0.16267708662611069</v>
      </c>
      <c r="M115" s="73">
        <f t="shared" si="215"/>
        <v>0.16366856024934906</v>
      </c>
      <c r="N115" s="73">
        <f t="shared" si="215"/>
        <v>0.16470108345661738</v>
      </c>
    </row>
    <row r="116" spans="1:14" x14ac:dyDescent="0.3">
      <c r="A116" s="74" t="s">
        <v>113</v>
      </c>
      <c r="B116" s="71">
        <f>+Historicals!B120</f>
        <v>3093</v>
      </c>
      <c r="C116" s="71">
        <f>+Historicals!C120</f>
        <v>2930</v>
      </c>
      <c r="D116" s="71">
        <f>+Historicals!D120</f>
        <v>3285</v>
      </c>
      <c r="E116" s="71">
        <f>+Historicals!E120</f>
        <v>3575</v>
      </c>
      <c r="F116" s="71">
        <f>+Historicals!F120</f>
        <v>3622</v>
      </c>
      <c r="G116" s="71">
        <f>+Historicals!G120</f>
        <v>3449</v>
      </c>
      <c r="H116" s="71">
        <f>+Historicals!H120</f>
        <v>3659</v>
      </c>
      <c r="I116" s="71">
        <f>+Historicals!I120</f>
        <v>4111</v>
      </c>
      <c r="J116" s="71">
        <f>+I116*(1+J117)</f>
        <v>4809.87</v>
      </c>
      <c r="K116" s="71">
        <f>+J116*(1+K117)</f>
        <v>5627.5478999999996</v>
      </c>
      <c r="L116" s="71">
        <f>+K116*(1+L117)</f>
        <v>6584.2310429999989</v>
      </c>
      <c r="M116" s="71">
        <f>+L116*(1+M117)</f>
        <v>7703.5503203099979</v>
      </c>
      <c r="N116" s="71">
        <f>+M116*(1+N117)</f>
        <v>9013.1538747626964</v>
      </c>
    </row>
    <row r="117" spans="1:14" x14ac:dyDescent="0.3">
      <c r="A117" s="72" t="s">
        <v>129</v>
      </c>
      <c r="B117" s="73" t="str">
        <f t="shared" ref="B117:I117" si="216">+IFERROR(B116/A116-1,"nm")</f>
        <v>nm</v>
      </c>
      <c r="C117" s="73">
        <f t="shared" si="216"/>
        <v>-5.269964435822827E-2</v>
      </c>
      <c r="D117" s="73">
        <f t="shared" si="216"/>
        <v>0.12116040955631391</v>
      </c>
      <c r="E117" s="73">
        <f t="shared" si="216"/>
        <v>8.8280060882800715E-2</v>
      </c>
      <c r="F117" s="73">
        <f t="shared" si="216"/>
        <v>1.3146853146853044E-2</v>
      </c>
      <c r="G117" s="73">
        <f t="shared" si="216"/>
        <v>-4.7763666482606326E-2</v>
      </c>
      <c r="H117" s="73">
        <f t="shared" si="216"/>
        <v>6.0887213685126174E-2</v>
      </c>
      <c r="I117" s="73">
        <f t="shared" si="216"/>
        <v>0.12353101940420874</v>
      </c>
      <c r="J117" s="73">
        <f>+J118+J119</f>
        <v>0.17</v>
      </c>
      <c r="K117" s="73">
        <f>+K118+K119</f>
        <v>0.17</v>
      </c>
      <c r="L117" s="73">
        <f>+L118+L119</f>
        <v>0.17</v>
      </c>
      <c r="M117" s="73">
        <f>+M118+M119</f>
        <v>0.17</v>
      </c>
      <c r="N117" s="73">
        <f>+N118+N119</f>
        <v>0.17</v>
      </c>
    </row>
    <row r="118" spans="1:14" x14ac:dyDescent="0.3">
      <c r="A118" s="72" t="s">
        <v>137</v>
      </c>
      <c r="B118" s="73">
        <f>+Historicals!B192</f>
        <v>0.16</v>
      </c>
      <c r="C118" s="73">
        <f>+Historicals!C192</f>
        <v>0.24</v>
      </c>
      <c r="D118" s="73">
        <f>+Historicals!D192</f>
        <v>0.16</v>
      </c>
      <c r="E118" s="73">
        <f>+Historicals!E192</f>
        <v>0.09</v>
      </c>
      <c r="F118" s="73">
        <f>+Historicals!F192</f>
        <v>0.12</v>
      </c>
      <c r="G118" s="73">
        <f>+Historicals!G192</f>
        <v>0</v>
      </c>
      <c r="H118" s="73">
        <f>+Historicals!H192</f>
        <v>0.08</v>
      </c>
      <c r="I118" s="73">
        <f>+Historicals!I192</f>
        <v>0.17</v>
      </c>
      <c r="J118" s="85">
        <f>I118</f>
        <v>0.17</v>
      </c>
      <c r="K118" s="85">
        <f t="shared" ref="K118:N119" si="217">+J118</f>
        <v>0.17</v>
      </c>
      <c r="L118" s="85">
        <f t="shared" si="217"/>
        <v>0.17</v>
      </c>
      <c r="M118" s="85">
        <f t="shared" si="217"/>
        <v>0.17</v>
      </c>
      <c r="N118" s="85">
        <f t="shared" si="217"/>
        <v>0.17</v>
      </c>
    </row>
    <row r="119" spans="1:14" x14ac:dyDescent="0.3">
      <c r="A119" s="72" t="s">
        <v>138</v>
      </c>
      <c r="B119" s="73" t="str">
        <f t="shared" ref="B119:I119" si="218">+IFERROR(B117-B118,"nm")</f>
        <v>nm</v>
      </c>
      <c r="C119" s="73">
        <f t="shared" si="218"/>
        <v>-0.29269964435822826</v>
      </c>
      <c r="D119" s="73">
        <f t="shared" si="218"/>
        <v>-3.8839590443686095E-2</v>
      </c>
      <c r="E119" s="73">
        <f t="shared" si="218"/>
        <v>-1.7199391171992817E-3</v>
      </c>
      <c r="F119" s="73">
        <f t="shared" si="218"/>
        <v>-0.10685314685314695</v>
      </c>
      <c r="G119" s="73">
        <f t="shared" si="218"/>
        <v>-4.7763666482606326E-2</v>
      </c>
      <c r="H119" s="73">
        <f t="shared" si="218"/>
        <v>-1.9112786314873828E-2</v>
      </c>
      <c r="I119" s="73">
        <f t="shared" si="218"/>
        <v>-4.646898059579127E-2</v>
      </c>
      <c r="J119" s="75">
        <v>0</v>
      </c>
      <c r="K119" s="75">
        <f t="shared" si="217"/>
        <v>0</v>
      </c>
      <c r="L119" s="75">
        <f t="shared" si="217"/>
        <v>0</v>
      </c>
      <c r="M119" s="75">
        <f t="shared" si="217"/>
        <v>0</v>
      </c>
      <c r="N119" s="75">
        <f t="shared" si="217"/>
        <v>0</v>
      </c>
    </row>
    <row r="120" spans="1:14" x14ac:dyDescent="0.3">
      <c r="A120" s="74" t="s">
        <v>114</v>
      </c>
      <c r="B120" s="71">
        <f>+Historicals!B121</f>
        <v>1251</v>
      </c>
      <c r="C120" s="71">
        <f>+Historicals!C121</f>
        <v>1117</v>
      </c>
      <c r="D120" s="71">
        <f>+Historicals!D121</f>
        <v>1185</v>
      </c>
      <c r="E120" s="71">
        <f>+Historicals!E121</f>
        <v>1347</v>
      </c>
      <c r="F120" s="71">
        <f>+Historicals!F121</f>
        <v>1395</v>
      </c>
      <c r="G120" s="71">
        <f>+Historicals!G121</f>
        <v>1365</v>
      </c>
      <c r="H120" s="71">
        <f>+Historicals!H121</f>
        <v>1494</v>
      </c>
      <c r="I120" s="71">
        <f>+Historicals!I121</f>
        <v>1610</v>
      </c>
      <c r="J120" s="71">
        <f>+I120*(1+J121)</f>
        <v>1803.2000000000003</v>
      </c>
      <c r="K120" s="71">
        <f>+J120*(1+K121)</f>
        <v>2019.5840000000005</v>
      </c>
      <c r="L120" s="71">
        <f>+K120*(1+L121)</f>
        <v>2261.9340800000009</v>
      </c>
      <c r="M120" s="71">
        <f>+L120*(1+M121)</f>
        <v>2533.3661696000013</v>
      </c>
      <c r="N120" s="71">
        <f>+M120*(1+N121)</f>
        <v>2837.3701099520017</v>
      </c>
    </row>
    <row r="121" spans="1:14" x14ac:dyDescent="0.3">
      <c r="A121" s="72" t="s">
        <v>129</v>
      </c>
      <c r="B121" s="73" t="str">
        <f t="shared" ref="B121:I121" si="219">+IFERROR(B120/A120-1,"nm")</f>
        <v>nm</v>
      </c>
      <c r="C121" s="73">
        <f t="shared" si="219"/>
        <v>-0.10711430855315751</v>
      </c>
      <c r="D121" s="73">
        <f t="shared" si="219"/>
        <v>6.0877350044762801E-2</v>
      </c>
      <c r="E121" s="73">
        <f t="shared" si="219"/>
        <v>0.13670886075949373</v>
      </c>
      <c r="F121" s="73">
        <f t="shared" si="219"/>
        <v>3.563474387527843E-2</v>
      </c>
      <c r="G121" s="73">
        <f t="shared" si="219"/>
        <v>-2.1505376344086002E-2</v>
      </c>
      <c r="H121" s="73">
        <f t="shared" si="219"/>
        <v>9.4505494505494614E-2</v>
      </c>
      <c r="I121" s="73">
        <f t="shared" si="219"/>
        <v>7.7643908969210251E-2</v>
      </c>
      <c r="J121" s="73">
        <f>+J122+J123</f>
        <v>0.12</v>
      </c>
      <c r="K121" s="73">
        <f>+K122+K123</f>
        <v>0.12</v>
      </c>
      <c r="L121" s="73">
        <f>+L122+L123</f>
        <v>0.12</v>
      </c>
      <c r="M121" s="73">
        <f>+M122+M123</f>
        <v>0.12</v>
      </c>
      <c r="N121" s="73">
        <f>+N122+N123</f>
        <v>0.12</v>
      </c>
    </row>
    <row r="122" spans="1:14" x14ac:dyDescent="0.3">
      <c r="A122" s="72" t="s">
        <v>137</v>
      </c>
      <c r="B122" s="73">
        <f>+Historicals!B193</f>
        <v>-1.4999999999999999E-2</v>
      </c>
      <c r="C122" s="73">
        <f>+Historicals!C193</f>
        <v>0.08</v>
      </c>
      <c r="D122" s="73">
        <f>+Historicals!D193</f>
        <v>0.09</v>
      </c>
      <c r="E122" s="73">
        <f>+Historicals!E193</f>
        <v>0.15</v>
      </c>
      <c r="F122" s="73">
        <f>+Historicals!F193</f>
        <v>0.15</v>
      </c>
      <c r="G122" s="73">
        <f>+Historicals!G193</f>
        <v>0.03</v>
      </c>
      <c r="H122" s="73">
        <f>+Historicals!H193</f>
        <v>0.1</v>
      </c>
      <c r="I122" s="73">
        <f>+Historicals!I193</f>
        <v>0.12</v>
      </c>
      <c r="J122" s="85">
        <f>I122</f>
        <v>0.12</v>
      </c>
      <c r="K122" s="85">
        <f t="shared" ref="K122:N123" si="220">+J122</f>
        <v>0.12</v>
      </c>
      <c r="L122" s="85">
        <f t="shared" si="220"/>
        <v>0.12</v>
      </c>
      <c r="M122" s="85">
        <f t="shared" si="220"/>
        <v>0.12</v>
      </c>
      <c r="N122" s="85">
        <f t="shared" si="220"/>
        <v>0.12</v>
      </c>
    </row>
    <row r="123" spans="1:14" x14ac:dyDescent="0.3">
      <c r="A123" s="72" t="s">
        <v>138</v>
      </c>
      <c r="B123" s="73" t="str">
        <f t="shared" ref="B123:I123" si="221">+IFERROR(B121-B122,"nm")</f>
        <v>nm</v>
      </c>
      <c r="C123" s="73">
        <f t="shared" si="221"/>
        <v>-0.18711430855315753</v>
      </c>
      <c r="D123" s="73">
        <f t="shared" si="221"/>
        <v>-2.9122649955237195E-2</v>
      </c>
      <c r="E123" s="73">
        <f t="shared" si="221"/>
        <v>-1.3291139240506261E-2</v>
      </c>
      <c r="F123" s="73">
        <f t="shared" si="221"/>
        <v>-0.11436525612472156</v>
      </c>
      <c r="G123" s="73">
        <f t="shared" si="221"/>
        <v>-5.1505376344086001E-2</v>
      </c>
      <c r="H123" s="73">
        <f t="shared" si="221"/>
        <v>-5.4945054945053917E-3</v>
      </c>
      <c r="I123" s="73">
        <f t="shared" si="221"/>
        <v>-4.2356091030789744E-2</v>
      </c>
      <c r="J123" s="75">
        <v>0</v>
      </c>
      <c r="K123" s="75">
        <f t="shared" si="220"/>
        <v>0</v>
      </c>
      <c r="L123" s="75">
        <f t="shared" si="220"/>
        <v>0</v>
      </c>
      <c r="M123" s="75">
        <f t="shared" si="220"/>
        <v>0</v>
      </c>
      <c r="N123" s="75">
        <f t="shared" si="220"/>
        <v>0</v>
      </c>
    </row>
    <row r="124" spans="1:14" x14ac:dyDescent="0.3">
      <c r="A124" s="74" t="s">
        <v>115</v>
      </c>
      <c r="B124" s="71">
        <f>+Historicals!B122</f>
        <v>309</v>
      </c>
      <c r="C124" s="71">
        <f>+Historicals!C122</f>
        <v>270</v>
      </c>
      <c r="D124" s="71">
        <f>+Historicals!D122</f>
        <v>267</v>
      </c>
      <c r="E124" s="71">
        <f>+Historicals!E122</f>
        <v>244</v>
      </c>
      <c r="F124" s="71">
        <f>+Historicals!F122</f>
        <v>237</v>
      </c>
      <c r="G124" s="71">
        <f>+Historicals!G122</f>
        <v>214</v>
      </c>
      <c r="H124" s="71">
        <f>+Historicals!H122</f>
        <v>190</v>
      </c>
      <c r="I124" s="71">
        <f>+Historicals!I122</f>
        <v>234</v>
      </c>
      <c r="J124" s="71">
        <f>+I124*(1+J125)</f>
        <v>299.52</v>
      </c>
      <c r="K124" s="71">
        <f>+J124*(1+K125)</f>
        <v>383.38560000000001</v>
      </c>
      <c r="L124" s="71">
        <f>+K124*(1+L125)</f>
        <v>490.73356800000005</v>
      </c>
      <c r="M124" s="71">
        <f>+L124*(1+M125)</f>
        <v>628.13896704000013</v>
      </c>
      <c r="N124" s="71">
        <f>+M124*(1+N125)</f>
        <v>804.01787781120015</v>
      </c>
    </row>
    <row r="125" spans="1:14" x14ac:dyDescent="0.3">
      <c r="A125" s="72" t="s">
        <v>129</v>
      </c>
      <c r="B125" s="73" t="str">
        <f t="shared" ref="B125:I125" si="222">+IFERROR(B124/A124-1,"nm")</f>
        <v>nm</v>
      </c>
      <c r="C125" s="73">
        <f t="shared" si="222"/>
        <v>-0.12621359223300976</v>
      </c>
      <c r="D125" s="73">
        <f t="shared" si="222"/>
        <v>-1.1111111111111072E-2</v>
      </c>
      <c r="E125" s="73">
        <f t="shared" si="222"/>
        <v>-8.6142322097378266E-2</v>
      </c>
      <c r="F125" s="73">
        <f t="shared" si="222"/>
        <v>-2.8688524590163911E-2</v>
      </c>
      <c r="G125" s="73">
        <f t="shared" si="222"/>
        <v>-9.7046413502109741E-2</v>
      </c>
      <c r="H125" s="73">
        <f t="shared" si="222"/>
        <v>-0.11214953271028039</v>
      </c>
      <c r="I125" s="73">
        <f t="shared" si="222"/>
        <v>0.23157894736842111</v>
      </c>
      <c r="J125" s="73">
        <f>+J126+J127</f>
        <v>0.28000000000000003</v>
      </c>
      <c r="K125" s="73">
        <f>+K126+K127</f>
        <v>0.28000000000000003</v>
      </c>
      <c r="L125" s="73">
        <f>+L126+L127</f>
        <v>0.28000000000000003</v>
      </c>
      <c r="M125" s="73">
        <f>+M126+M127</f>
        <v>0.28000000000000003</v>
      </c>
      <c r="N125" s="73">
        <f>+N126+N127</f>
        <v>0.28000000000000003</v>
      </c>
    </row>
    <row r="126" spans="1:14" x14ac:dyDescent="0.3">
      <c r="A126" s="72" t="s">
        <v>137</v>
      </c>
      <c r="B126" s="73">
        <f>+Historicals!B194</f>
        <v>-5.0000000000000001E-3</v>
      </c>
      <c r="C126" s="73">
        <f>+Historicals!C194</f>
        <v>7.0000000000000007E-2</v>
      </c>
      <c r="D126" s="73">
        <f>+Historicals!D194</f>
        <v>-0.01</v>
      </c>
      <c r="E126" s="73">
        <f>+Historicals!E194</f>
        <v>-0.08</v>
      </c>
      <c r="F126" s="73">
        <f>+Historicals!F194</f>
        <v>0.08</v>
      </c>
      <c r="G126" s="73">
        <f>+Historicals!G194</f>
        <v>-0.04</v>
      </c>
      <c r="H126" s="73">
        <f>+Historicals!H194</f>
        <v>-0.09</v>
      </c>
      <c r="I126" s="73">
        <f>+Historicals!I194</f>
        <v>0.28000000000000003</v>
      </c>
      <c r="J126" s="85">
        <f>I126</f>
        <v>0.28000000000000003</v>
      </c>
      <c r="K126" s="85">
        <f t="shared" ref="K126:N127" si="223">+J126</f>
        <v>0.28000000000000003</v>
      </c>
      <c r="L126" s="85">
        <f t="shared" si="223"/>
        <v>0.28000000000000003</v>
      </c>
      <c r="M126" s="85">
        <f t="shared" si="223"/>
        <v>0.28000000000000003</v>
      </c>
      <c r="N126" s="85">
        <f t="shared" si="223"/>
        <v>0.28000000000000003</v>
      </c>
    </row>
    <row r="127" spans="1:14" x14ac:dyDescent="0.3">
      <c r="A127" s="72" t="s">
        <v>138</v>
      </c>
      <c r="B127" s="73" t="str">
        <f t="shared" ref="B127:I127" si="224">+IFERROR(B125-B126,"nm")</f>
        <v>nm</v>
      </c>
      <c r="C127" s="73">
        <f t="shared" si="224"/>
        <v>-0.19621359223300977</v>
      </c>
      <c r="D127" s="73">
        <f t="shared" si="224"/>
        <v>-1.1111111111110714E-3</v>
      </c>
      <c r="E127" s="73">
        <f t="shared" si="224"/>
        <v>-6.1423220973782638E-3</v>
      </c>
      <c r="F127" s="73">
        <f t="shared" si="224"/>
        <v>-0.10868852459016391</v>
      </c>
      <c r="G127" s="73">
        <f t="shared" si="224"/>
        <v>-5.704641350210974E-2</v>
      </c>
      <c r="H127" s="73">
        <f t="shared" si="224"/>
        <v>-2.214953271028039E-2</v>
      </c>
      <c r="I127" s="73">
        <f t="shared" si="224"/>
        <v>-4.842105263157892E-2</v>
      </c>
      <c r="J127" s="75">
        <v>0</v>
      </c>
      <c r="K127" s="75">
        <f t="shared" si="223"/>
        <v>0</v>
      </c>
      <c r="L127" s="75">
        <f t="shared" si="223"/>
        <v>0</v>
      </c>
      <c r="M127" s="75">
        <f t="shared" si="223"/>
        <v>0</v>
      </c>
      <c r="N127" s="75">
        <f t="shared" si="223"/>
        <v>0</v>
      </c>
    </row>
    <row r="128" spans="1:14" x14ac:dyDescent="0.3">
      <c r="A128" s="71" t="s">
        <v>130</v>
      </c>
      <c r="B128" s="76">
        <f t="shared" ref="B128:I128" si="225">+B135+B131</f>
        <v>967</v>
      </c>
      <c r="C128" s="76">
        <f t="shared" si="225"/>
        <v>1045</v>
      </c>
      <c r="D128" s="76">
        <f t="shared" si="225"/>
        <v>1036</v>
      </c>
      <c r="E128" s="76">
        <f t="shared" si="225"/>
        <v>1244</v>
      </c>
      <c r="F128" s="76">
        <f t="shared" si="225"/>
        <v>1376</v>
      </c>
      <c r="G128" s="76">
        <f t="shared" si="225"/>
        <v>1230</v>
      </c>
      <c r="H128" s="76">
        <f t="shared" si="225"/>
        <v>1573</v>
      </c>
      <c r="I128" s="76">
        <f t="shared" si="225"/>
        <v>1938</v>
      </c>
      <c r="J128" s="76">
        <f>+J114*J130</f>
        <v>2249.6388614609573</v>
      </c>
      <c r="K128" s="76">
        <f>+K114*K130</f>
        <v>2613.4580881612087</v>
      </c>
      <c r="L128" s="76">
        <f>+L114*L130</f>
        <v>3038.6078359627199</v>
      </c>
      <c r="M128" s="76">
        <f>+M114*M130</f>
        <v>3535.9324056371283</v>
      </c>
      <c r="N128" s="76">
        <f>+N114*N130</f>
        <v>4118.3043038749274</v>
      </c>
    </row>
    <row r="129" spans="1:14" x14ac:dyDescent="0.3">
      <c r="A129" s="77" t="s">
        <v>129</v>
      </c>
      <c r="B129" s="73" t="str">
        <f t="shared" ref="B129:N129" si="226">+IFERROR(B128/A128-1,"nm")</f>
        <v>nm</v>
      </c>
      <c r="C129" s="73">
        <f t="shared" si="226"/>
        <v>8.0661840744570945E-2</v>
      </c>
      <c r="D129" s="73">
        <f t="shared" si="226"/>
        <v>-8.6124401913875159E-3</v>
      </c>
      <c r="E129" s="73">
        <f t="shared" si="226"/>
        <v>0.20077220077220082</v>
      </c>
      <c r="F129" s="73">
        <f t="shared" si="226"/>
        <v>0.10610932475884249</v>
      </c>
      <c r="G129" s="73">
        <f t="shared" si="226"/>
        <v>-0.10610465116279066</v>
      </c>
      <c r="H129" s="73">
        <f t="shared" si="226"/>
        <v>0.27886178861788613</v>
      </c>
      <c r="I129" s="73">
        <f t="shared" si="226"/>
        <v>0.23204068658614108</v>
      </c>
      <c r="J129" s="73">
        <f t="shared" si="226"/>
        <v>0.16080436607892534</v>
      </c>
      <c r="K129" s="73">
        <f t="shared" si="226"/>
        <v>0.16172339166650973</v>
      </c>
      <c r="L129" s="73">
        <f t="shared" si="226"/>
        <v>0.16267708662611091</v>
      </c>
      <c r="M129" s="73">
        <f t="shared" si="226"/>
        <v>0.16366856024934906</v>
      </c>
      <c r="N129" s="73">
        <f t="shared" si="226"/>
        <v>0.1647010834566176</v>
      </c>
    </row>
    <row r="130" spans="1:14" x14ac:dyDescent="0.3">
      <c r="A130" s="77" t="s">
        <v>131</v>
      </c>
      <c r="B130" s="73">
        <f t="shared" ref="B130:I130" si="227">+IFERROR(B128/B$114,"nm")</f>
        <v>0.20782290995056951</v>
      </c>
      <c r="C130" s="73">
        <f t="shared" si="227"/>
        <v>0.24206624971044707</v>
      </c>
      <c r="D130" s="73">
        <f t="shared" si="227"/>
        <v>0.218703820983745</v>
      </c>
      <c r="E130" s="73">
        <f t="shared" si="227"/>
        <v>0.2408052651955091</v>
      </c>
      <c r="F130" s="73">
        <f t="shared" si="227"/>
        <v>0.26189569851541683</v>
      </c>
      <c r="G130" s="73">
        <f t="shared" si="227"/>
        <v>0.24463007159904535</v>
      </c>
      <c r="H130" s="73">
        <f t="shared" si="227"/>
        <v>0.2944038929440389</v>
      </c>
      <c r="I130" s="73">
        <f t="shared" si="227"/>
        <v>0.32544080604534004</v>
      </c>
      <c r="J130" s="85">
        <f>+I130</f>
        <v>0.32544080604534004</v>
      </c>
      <c r="K130" s="85">
        <f>+J130</f>
        <v>0.32544080604534004</v>
      </c>
      <c r="L130" s="85">
        <f>+K130</f>
        <v>0.32544080604534004</v>
      </c>
      <c r="M130" s="85">
        <f>+L130</f>
        <v>0.32544080604534004</v>
      </c>
      <c r="N130" s="85">
        <f>+M130</f>
        <v>0.32544080604534004</v>
      </c>
    </row>
    <row r="131" spans="1:14" x14ac:dyDescent="0.3">
      <c r="A131" s="71" t="s">
        <v>132</v>
      </c>
      <c r="B131" s="71">
        <f>+Historicals!B170</f>
        <v>49</v>
      </c>
      <c r="C131" s="71">
        <f>+Historicals!C170</f>
        <v>43</v>
      </c>
      <c r="D131" s="71">
        <f>+Historicals!D170</f>
        <v>56</v>
      </c>
      <c r="E131" s="71">
        <f>+Historicals!E170</f>
        <v>55</v>
      </c>
      <c r="F131" s="71">
        <f>+Historicals!F170</f>
        <v>53</v>
      </c>
      <c r="G131" s="71">
        <f>+Historicals!G170</f>
        <v>46</v>
      </c>
      <c r="H131" s="71">
        <f>+Historicals!H170</f>
        <v>43</v>
      </c>
      <c r="I131" s="71">
        <f>+Historicals!I170</f>
        <v>42</v>
      </c>
      <c r="J131" s="76">
        <f>+J134*J141</f>
        <v>48.753783375314867</v>
      </c>
      <c r="K131" s="76">
        <f>+K134*K141</f>
        <v>56.638410579345091</v>
      </c>
      <c r="L131" s="76">
        <f>+L134*L141</f>
        <v>65.852182203526439</v>
      </c>
      <c r="M131" s="76">
        <f>+M134*M141</f>
        <v>76.630114054055426</v>
      </c>
      <c r="N131" s="76">
        <f>+N134*N141</f>
        <v>89.251176864162517</v>
      </c>
    </row>
    <row r="132" spans="1:14" x14ac:dyDescent="0.3">
      <c r="A132" s="77" t="s">
        <v>129</v>
      </c>
      <c r="B132" s="73" t="str">
        <f t="shared" ref="B132:N132" si="228">+IFERROR(B131/A131-1,"nm")</f>
        <v>nm</v>
      </c>
      <c r="C132" s="73">
        <f t="shared" si="228"/>
        <v>-0.12244897959183676</v>
      </c>
      <c r="D132" s="73">
        <f t="shared" si="228"/>
        <v>0.30232558139534893</v>
      </c>
      <c r="E132" s="73">
        <f t="shared" si="228"/>
        <v>-1.7857142857142905E-2</v>
      </c>
      <c r="F132" s="73">
        <f t="shared" si="228"/>
        <v>-3.6363636363636376E-2</v>
      </c>
      <c r="G132" s="73">
        <f t="shared" si="228"/>
        <v>-0.13207547169811318</v>
      </c>
      <c r="H132" s="73">
        <f t="shared" si="228"/>
        <v>-6.5217391304347783E-2</v>
      </c>
      <c r="I132" s="73">
        <f t="shared" si="228"/>
        <v>-2.3255813953488413E-2</v>
      </c>
      <c r="J132" s="73">
        <f t="shared" si="228"/>
        <v>0.16080436607892534</v>
      </c>
      <c r="K132" s="73">
        <f t="shared" si="228"/>
        <v>0.16172339166650995</v>
      </c>
      <c r="L132" s="73">
        <f t="shared" si="228"/>
        <v>0.16267708662611069</v>
      </c>
      <c r="M132" s="73">
        <f t="shared" si="228"/>
        <v>0.16366856024934928</v>
      </c>
      <c r="N132" s="73">
        <f t="shared" si="228"/>
        <v>0.16470108345661738</v>
      </c>
    </row>
    <row r="133" spans="1:14" x14ac:dyDescent="0.3">
      <c r="A133" s="77" t="s">
        <v>133</v>
      </c>
      <c r="B133" s="73">
        <f t="shared" ref="B133:I133" si="229">+IFERROR(B131/B$114,"nm")</f>
        <v>1.053084031807436E-2</v>
      </c>
      <c r="C133" s="73">
        <f t="shared" si="229"/>
        <v>9.9606208014825105E-3</v>
      </c>
      <c r="D133" s="73">
        <f t="shared" si="229"/>
        <v>1.1821828161283512E-2</v>
      </c>
      <c r="E133" s="73">
        <f t="shared" si="229"/>
        <v>1.064653503677894E-2</v>
      </c>
      <c r="F133" s="73">
        <f t="shared" si="229"/>
        <v>1.0087552341073468E-2</v>
      </c>
      <c r="G133" s="73">
        <f t="shared" si="229"/>
        <v>9.148766905330152E-3</v>
      </c>
      <c r="H133" s="73">
        <f t="shared" si="229"/>
        <v>8.0479131574022079E-3</v>
      </c>
      <c r="I133" s="73">
        <f t="shared" si="229"/>
        <v>7.0528967254408059E-3</v>
      </c>
      <c r="J133" s="73">
        <f>+IFERROR(J131/J$21,"nm")</f>
        <v>2.485291193643188E-3</v>
      </c>
      <c r="K133" s="73">
        <f>+IFERROR(K131/K$21,"nm")</f>
        <v>2.6976481025409145E-3</v>
      </c>
      <c r="L133" s="73">
        <f>+IFERROR(L131/L$21,"nm")</f>
        <v>2.9262348642522446E-3</v>
      </c>
      <c r="M133" s="73">
        <f>+IFERROR(M131/M$21,"nm")</f>
        <v>3.1716414513806926E-3</v>
      </c>
      <c r="N133" s="73">
        <f>+IFERROR(N131/N$21,"nm")</f>
        <v>3.434288760431386E-3</v>
      </c>
    </row>
    <row r="134" spans="1:14" x14ac:dyDescent="0.3">
      <c r="A134" s="77" t="s">
        <v>140</v>
      </c>
      <c r="B134" s="73">
        <f t="shared" ref="B134:I134" si="230">+IFERROR(B131/B141,"nm")</f>
        <v>0.15909090909090909</v>
      </c>
      <c r="C134" s="73">
        <f t="shared" si="230"/>
        <v>0.12951807228915663</v>
      </c>
      <c r="D134" s="73">
        <f t="shared" si="230"/>
        <v>0.16470588235294117</v>
      </c>
      <c r="E134" s="73">
        <f t="shared" si="230"/>
        <v>0.16224188790560473</v>
      </c>
      <c r="F134" s="73">
        <f t="shared" si="230"/>
        <v>0.16257668711656442</v>
      </c>
      <c r="G134" s="73">
        <f t="shared" si="230"/>
        <v>0.1554054054054054</v>
      </c>
      <c r="H134" s="73">
        <f t="shared" si="230"/>
        <v>0.14144736842105263</v>
      </c>
      <c r="I134" s="73">
        <f t="shared" si="230"/>
        <v>0.15328467153284672</v>
      </c>
      <c r="J134" s="85">
        <f>+I134</f>
        <v>0.15328467153284672</v>
      </c>
      <c r="K134" s="85">
        <f>+J134</f>
        <v>0.15328467153284672</v>
      </c>
      <c r="L134" s="85">
        <f>+K134</f>
        <v>0.15328467153284672</v>
      </c>
      <c r="M134" s="85">
        <f>+L134</f>
        <v>0.15328467153284672</v>
      </c>
      <c r="N134" s="85">
        <f>+M134</f>
        <v>0.15328467153284672</v>
      </c>
    </row>
    <row r="135" spans="1:14" x14ac:dyDescent="0.3">
      <c r="A135" s="71" t="s">
        <v>134</v>
      </c>
      <c r="B135" s="71">
        <f>+Historicals!B137</f>
        <v>918</v>
      </c>
      <c r="C135" s="71">
        <f>+Historicals!C137</f>
        <v>1002</v>
      </c>
      <c r="D135" s="71">
        <f>+Historicals!D137</f>
        <v>980</v>
      </c>
      <c r="E135" s="71">
        <f>+Historicals!E137</f>
        <v>1189</v>
      </c>
      <c r="F135" s="71">
        <f>+Historicals!F137</f>
        <v>1323</v>
      </c>
      <c r="G135" s="71">
        <f>+Historicals!G137</f>
        <v>1184</v>
      </c>
      <c r="H135" s="71">
        <f>+Historicals!H137</f>
        <v>1530</v>
      </c>
      <c r="I135" s="71">
        <f>+Historicals!I137</f>
        <v>1896</v>
      </c>
      <c r="J135" s="71">
        <f>+J128-J131</f>
        <v>2200.8850780856424</v>
      </c>
      <c r="K135" s="71">
        <f>+K128-K131</f>
        <v>2556.8196775818637</v>
      </c>
      <c r="L135" s="71">
        <f>+L128-L131</f>
        <v>2972.7556537591936</v>
      </c>
      <c r="M135" s="71">
        <f>+M128-M131</f>
        <v>3459.3022915830729</v>
      </c>
      <c r="N135" s="71">
        <f>+N128-N131</f>
        <v>4029.0531270107649</v>
      </c>
    </row>
    <row r="136" spans="1:14" x14ac:dyDescent="0.3">
      <c r="A136" s="77" t="s">
        <v>129</v>
      </c>
      <c r="B136" s="73" t="str">
        <f t="shared" ref="B136:N136" si="231">+IFERROR(B135/A135-1,"nm")</f>
        <v>nm</v>
      </c>
      <c r="C136" s="73">
        <f t="shared" si="231"/>
        <v>9.1503267973856106E-2</v>
      </c>
      <c r="D136" s="73">
        <f t="shared" si="231"/>
        <v>-2.1956087824351322E-2</v>
      </c>
      <c r="E136" s="73">
        <f t="shared" si="231"/>
        <v>0.21326530612244898</v>
      </c>
      <c r="F136" s="73">
        <f t="shared" si="231"/>
        <v>0.11269974768713209</v>
      </c>
      <c r="G136" s="73">
        <f t="shared" si="231"/>
        <v>-0.1050642479213908</v>
      </c>
      <c r="H136" s="73">
        <f t="shared" si="231"/>
        <v>0.29222972972972983</v>
      </c>
      <c r="I136" s="73">
        <f t="shared" si="231"/>
        <v>0.23921568627450984</v>
      </c>
      <c r="J136" s="73">
        <f t="shared" si="231"/>
        <v>0.16080436607892534</v>
      </c>
      <c r="K136" s="73">
        <f t="shared" si="231"/>
        <v>0.16172339166650973</v>
      </c>
      <c r="L136" s="73">
        <f t="shared" si="231"/>
        <v>0.16267708662611091</v>
      </c>
      <c r="M136" s="73">
        <f t="shared" si="231"/>
        <v>0.16366856024934906</v>
      </c>
      <c r="N136" s="73">
        <f t="shared" si="231"/>
        <v>0.1647010834566176</v>
      </c>
    </row>
    <row r="137" spans="1:14" x14ac:dyDescent="0.3">
      <c r="A137" s="77" t="s">
        <v>131</v>
      </c>
      <c r="B137" s="73">
        <f t="shared" ref="B137:N137" si="232">+IFERROR(B135/B$114,"nm")</f>
        <v>0.19729206963249515</v>
      </c>
      <c r="C137" s="73">
        <f t="shared" si="232"/>
        <v>0.23210562890896455</v>
      </c>
      <c r="D137" s="73">
        <f t="shared" si="232"/>
        <v>0.20688199282246147</v>
      </c>
      <c r="E137" s="73">
        <f t="shared" si="232"/>
        <v>0.23015873015873015</v>
      </c>
      <c r="F137" s="73">
        <f t="shared" si="232"/>
        <v>0.25180814617434338</v>
      </c>
      <c r="G137" s="73">
        <f t="shared" si="232"/>
        <v>0.2354813046937152</v>
      </c>
      <c r="H137" s="73">
        <f t="shared" si="232"/>
        <v>0.28635597978663674</v>
      </c>
      <c r="I137" s="73">
        <f t="shared" si="232"/>
        <v>0.31838790931989924</v>
      </c>
      <c r="J137" s="78">
        <f t="shared" si="232"/>
        <v>0.31838790931989924</v>
      </c>
      <c r="K137" s="78">
        <f t="shared" si="232"/>
        <v>0.31838790931989924</v>
      </c>
      <c r="L137" s="78">
        <f t="shared" si="232"/>
        <v>0.31838790931989924</v>
      </c>
      <c r="M137" s="78">
        <f t="shared" si="232"/>
        <v>0.31838790931989924</v>
      </c>
      <c r="N137" s="78">
        <f t="shared" si="232"/>
        <v>0.31838790931989924</v>
      </c>
    </row>
    <row r="138" spans="1:14" x14ac:dyDescent="0.3">
      <c r="A138" s="71" t="s">
        <v>135</v>
      </c>
      <c r="B138" s="71">
        <f>+Historicals!B159</f>
        <v>52</v>
      </c>
      <c r="C138" s="71">
        <f>+Historicals!C159</f>
        <v>64</v>
      </c>
      <c r="D138" s="71">
        <f>+Historicals!D159</f>
        <v>59</v>
      </c>
      <c r="E138" s="71">
        <f>+Historicals!E159</f>
        <v>49</v>
      </c>
      <c r="F138" s="71">
        <f>+Historicals!F159</f>
        <v>47</v>
      </c>
      <c r="G138" s="71">
        <f>+Historicals!G159</f>
        <v>41</v>
      </c>
      <c r="H138" s="71">
        <f>+Historicals!H159</f>
        <v>54</v>
      </c>
      <c r="I138" s="71">
        <f>+Historicals!I159</f>
        <v>56</v>
      </c>
      <c r="J138" s="76">
        <f>+J114*J140</f>
        <v>65.005044500419814</v>
      </c>
      <c r="K138" s="76">
        <f>+K114*K140</f>
        <v>75.517880772460117</v>
      </c>
      <c r="L138" s="76">
        <f>+L114*L140</f>
        <v>87.80290960470191</v>
      </c>
      <c r="M138" s="76">
        <f>+M114*M140</f>
        <v>102.17348540540722</v>
      </c>
      <c r="N138" s="76">
        <f>+N114*N140</f>
        <v>119.00156915221667</v>
      </c>
    </row>
    <row r="139" spans="1:14" x14ac:dyDescent="0.3">
      <c r="A139" s="77" t="s">
        <v>129</v>
      </c>
      <c r="B139" s="73" t="str">
        <f t="shared" ref="B139:N139" si="233">+IFERROR(B138/A138-1,"nm")</f>
        <v>nm</v>
      </c>
      <c r="C139" s="73">
        <f t="shared" si="233"/>
        <v>0.23076923076923084</v>
      </c>
      <c r="D139" s="73">
        <f t="shared" si="233"/>
        <v>-7.8125E-2</v>
      </c>
      <c r="E139" s="73">
        <f t="shared" si="233"/>
        <v>-0.16949152542372881</v>
      </c>
      <c r="F139" s="73">
        <f t="shared" si="233"/>
        <v>-4.081632653061229E-2</v>
      </c>
      <c r="G139" s="73">
        <f t="shared" si="233"/>
        <v>-0.12765957446808507</v>
      </c>
      <c r="H139" s="73">
        <f t="shared" si="233"/>
        <v>0.31707317073170738</v>
      </c>
      <c r="I139" s="73">
        <f t="shared" si="233"/>
        <v>3.7037037037036979E-2</v>
      </c>
      <c r="J139" s="73">
        <f t="shared" si="233"/>
        <v>0.16080436607892534</v>
      </c>
      <c r="K139" s="73">
        <f t="shared" si="233"/>
        <v>0.16172339166650995</v>
      </c>
      <c r="L139" s="73">
        <f t="shared" si="233"/>
        <v>0.16267708662611069</v>
      </c>
      <c r="M139" s="73">
        <f t="shared" si="233"/>
        <v>0.16366856024934906</v>
      </c>
      <c r="N139" s="73">
        <f t="shared" si="233"/>
        <v>0.16470108345661738</v>
      </c>
    </row>
    <row r="140" spans="1:14" x14ac:dyDescent="0.3">
      <c r="A140" s="77" t="s">
        <v>133</v>
      </c>
      <c r="B140" s="73">
        <f t="shared" ref="B140:I140" si="234">+IFERROR(B138/B$114,"nm")</f>
        <v>1.117558564367075E-2</v>
      </c>
      <c r="C140" s="73">
        <f t="shared" si="234"/>
        <v>1.4825110030113504E-2</v>
      </c>
      <c r="D140" s="73">
        <f t="shared" si="234"/>
        <v>1.2455140384209416E-2</v>
      </c>
      <c r="E140" s="73">
        <f t="shared" si="234"/>
        <v>9.485094850948509E-3</v>
      </c>
      <c r="F140" s="73">
        <f t="shared" si="234"/>
        <v>8.9455652835934533E-3</v>
      </c>
      <c r="G140" s="73">
        <f t="shared" si="234"/>
        <v>8.1543357199681775E-3</v>
      </c>
      <c r="H140" s="73">
        <f t="shared" si="234"/>
        <v>1.0106681639528355E-2</v>
      </c>
      <c r="I140" s="73">
        <f t="shared" si="234"/>
        <v>9.4038623005877411E-3</v>
      </c>
      <c r="J140" s="85">
        <f>+I140</f>
        <v>9.4038623005877411E-3</v>
      </c>
      <c r="K140" s="85">
        <f>+J140</f>
        <v>9.4038623005877411E-3</v>
      </c>
      <c r="L140" s="85">
        <f>+K140</f>
        <v>9.4038623005877411E-3</v>
      </c>
      <c r="M140" s="85">
        <f>+L140</f>
        <v>9.4038623005877411E-3</v>
      </c>
      <c r="N140" s="85">
        <f>+M140</f>
        <v>9.4038623005877411E-3</v>
      </c>
    </row>
    <row r="141" spans="1:14" x14ac:dyDescent="0.3">
      <c r="A141" s="71" t="s">
        <v>141</v>
      </c>
      <c r="B141" s="71">
        <f>+Historicals!B148</f>
        <v>308</v>
      </c>
      <c r="C141" s="71">
        <f>+Historicals!C148</f>
        <v>332</v>
      </c>
      <c r="D141" s="71">
        <f>+Historicals!D148</f>
        <v>340</v>
      </c>
      <c r="E141" s="71">
        <f>+Historicals!E148</f>
        <v>339</v>
      </c>
      <c r="F141" s="71">
        <f>+Historicals!F148</f>
        <v>326</v>
      </c>
      <c r="G141" s="71">
        <f>+Historicals!G148</f>
        <v>296</v>
      </c>
      <c r="H141" s="71">
        <f>+Historicals!H148</f>
        <v>304</v>
      </c>
      <c r="I141" s="71">
        <f>+Historicals!I148</f>
        <v>274</v>
      </c>
      <c r="J141" s="76">
        <f>+J114*J143</f>
        <v>318.06039630562555</v>
      </c>
      <c r="K141" s="76">
        <f>+K114*K143</f>
        <v>369.49820235096558</v>
      </c>
      <c r="L141" s="76">
        <f>+L114*L143</f>
        <v>429.60709342300584</v>
      </c>
      <c r="M141" s="76">
        <f>+M114*M143</f>
        <v>499.92026787645676</v>
      </c>
      <c r="N141" s="76">
        <f>+N114*N143</f>
        <v>582.25767763763167</v>
      </c>
    </row>
    <row r="142" spans="1:14" x14ac:dyDescent="0.3">
      <c r="A142" s="77" t="s">
        <v>129</v>
      </c>
      <c r="B142" s="73" t="str">
        <f t="shared" ref="B142:I142" si="235">+IFERROR(B141/A141-1,"nm")</f>
        <v>nm</v>
      </c>
      <c r="C142" s="73">
        <f t="shared" si="235"/>
        <v>7.7922077922077948E-2</v>
      </c>
      <c r="D142" s="73">
        <f t="shared" si="235"/>
        <v>2.4096385542168752E-2</v>
      </c>
      <c r="E142" s="73">
        <f t="shared" si="235"/>
        <v>-2.9411764705882248E-3</v>
      </c>
      <c r="F142" s="73">
        <f t="shared" si="235"/>
        <v>-3.8348082595870192E-2</v>
      </c>
      <c r="G142" s="73">
        <f t="shared" si="235"/>
        <v>-9.2024539877300637E-2</v>
      </c>
      <c r="H142" s="73">
        <f t="shared" si="235"/>
        <v>2.7027027027026973E-2</v>
      </c>
      <c r="I142" s="73">
        <f t="shared" si="235"/>
        <v>-9.8684210526315819E-2</v>
      </c>
      <c r="J142" s="73">
        <f t="shared" ref="J142" si="236">+IFERROR(J141/I141-1,"nm")</f>
        <v>0.16080436607892534</v>
      </c>
      <c r="K142" s="73">
        <f t="shared" ref="K142" si="237">+IFERROR(K141/J141-1,"nm")</f>
        <v>0.16172339166650995</v>
      </c>
      <c r="L142" s="73">
        <f t="shared" ref="L142" si="238">+IFERROR(L141/K141-1,"nm")</f>
        <v>0.16267708662611091</v>
      </c>
      <c r="M142" s="73">
        <f t="shared" ref="M142" si="239">+IFERROR(M141/L141-1,"nm")</f>
        <v>0.16366856024934906</v>
      </c>
      <c r="N142" s="73">
        <f t="shared" ref="N142" si="240">+IFERROR(N141/M141-1,"nm")</f>
        <v>0.1647010834566176</v>
      </c>
    </row>
    <row r="143" spans="1:14" x14ac:dyDescent="0.3">
      <c r="A143" s="77" t="s">
        <v>133</v>
      </c>
      <c r="B143" s="73">
        <f t="shared" ref="B143:I143" si="241">+IFERROR(B141/B$114,"nm")</f>
        <v>6.6193853427895979E-2</v>
      </c>
      <c r="C143" s="73">
        <f t="shared" si="241"/>
        <v>7.6905258281213806E-2</v>
      </c>
      <c r="D143" s="73">
        <f t="shared" si="241"/>
        <v>7.1775385264935612E-2</v>
      </c>
      <c r="E143" s="73">
        <f t="shared" si="241"/>
        <v>6.5621370499419282E-2</v>
      </c>
      <c r="F143" s="73">
        <f t="shared" si="241"/>
        <v>6.2047963456414161E-2</v>
      </c>
      <c r="G143" s="73">
        <f t="shared" si="241"/>
        <v>5.88703261734288E-2</v>
      </c>
      <c r="H143" s="73">
        <f t="shared" si="241"/>
        <v>5.6896874415122589E-2</v>
      </c>
      <c r="I143" s="73">
        <f t="shared" si="241"/>
        <v>4.6011754827875735E-2</v>
      </c>
      <c r="J143" s="85">
        <f>+I143</f>
        <v>4.6011754827875735E-2</v>
      </c>
      <c r="K143" s="85">
        <f>+J143</f>
        <v>4.6011754827875735E-2</v>
      </c>
      <c r="L143" s="85">
        <f>+K143</f>
        <v>4.6011754827875735E-2</v>
      </c>
      <c r="M143" s="85">
        <f>+L143</f>
        <v>4.6011754827875735E-2</v>
      </c>
      <c r="N143" s="85">
        <f>+M143</f>
        <v>4.6011754827875735E-2</v>
      </c>
    </row>
    <row r="144" spans="1:14" x14ac:dyDescent="0.3">
      <c r="A144" s="79" t="str">
        <f>+[1]Historicals!A199</f>
        <v>Global Brand Divisions</v>
      </c>
      <c r="B144" s="69"/>
      <c r="C144" s="69"/>
      <c r="D144" s="69"/>
      <c r="E144" s="69"/>
      <c r="F144" s="69"/>
      <c r="G144" s="69"/>
      <c r="H144" s="69"/>
      <c r="I144" s="69"/>
      <c r="J144" s="70"/>
      <c r="K144" s="70"/>
      <c r="L144" s="70"/>
      <c r="M144" s="70"/>
      <c r="N144" s="70"/>
    </row>
    <row r="145" spans="1:26" x14ac:dyDescent="0.3">
      <c r="A145" s="71" t="s">
        <v>136</v>
      </c>
      <c r="B145" s="71">
        <f>+Historicals!B123</f>
        <v>115</v>
      </c>
      <c r="C145" s="71">
        <f>+Historicals!C123</f>
        <v>73</v>
      </c>
      <c r="D145" s="71">
        <f>+Historicals!D123</f>
        <v>73</v>
      </c>
      <c r="E145" s="71">
        <f>+Historicals!E123</f>
        <v>88</v>
      </c>
      <c r="F145" s="71">
        <f>+Historicals!F123</f>
        <v>42</v>
      </c>
      <c r="G145" s="71">
        <f>+Historicals!G123</f>
        <v>30</v>
      </c>
      <c r="H145" s="71">
        <f>+Historicals!H123</f>
        <v>25</v>
      </c>
      <c r="I145" s="71">
        <f>+Historicals!I123</f>
        <v>102</v>
      </c>
      <c r="J145" s="71">
        <f>+I145*(1+J146)</f>
        <v>58.037999999999997</v>
      </c>
      <c r="K145" s="71">
        <f>+J145*(1+K146)</f>
        <v>33.023621999999996</v>
      </c>
      <c r="L145" s="71">
        <f>+K145*(1+L146)</f>
        <v>18.790440917999994</v>
      </c>
      <c r="M145" s="71">
        <f>+L145*(1+M146)</f>
        <v>10.691760882341995</v>
      </c>
      <c r="N145" s="71">
        <f>+M145*(1+N146)</f>
        <v>6.0836119420525945</v>
      </c>
    </row>
    <row r="146" spans="1:26" ht="14.4" customHeight="1" x14ac:dyDescent="0.3">
      <c r="A146" s="72" t="s">
        <v>129</v>
      </c>
      <c r="B146" s="73" t="str">
        <f t="shared" ref="B146:I146" si="242">+IFERROR(B145/A145-1,"nm")</f>
        <v>nm</v>
      </c>
      <c r="C146" s="73">
        <f t="shared" si="242"/>
        <v>-0.36521739130434783</v>
      </c>
      <c r="D146" s="73">
        <f t="shared" si="242"/>
        <v>0</v>
      </c>
      <c r="E146" s="73">
        <f t="shared" si="242"/>
        <v>0.20547945205479445</v>
      </c>
      <c r="F146" s="73">
        <f t="shared" si="242"/>
        <v>-0.52272727272727271</v>
      </c>
      <c r="G146" s="73">
        <f t="shared" si="242"/>
        <v>-0.2857142857142857</v>
      </c>
      <c r="H146" s="73">
        <f t="shared" si="242"/>
        <v>-0.16666666666666663</v>
      </c>
      <c r="I146" s="73">
        <f t="shared" si="242"/>
        <v>3.08</v>
      </c>
      <c r="J146" s="73">
        <f>+J147+J148</f>
        <v>-0.43099999999999999</v>
      </c>
      <c r="K146" s="73">
        <f>+K147+K148</f>
        <v>-0.43099999999999999</v>
      </c>
      <c r="L146" s="73">
        <f>+L147+L148</f>
        <v>-0.43099999999999999</v>
      </c>
      <c r="M146" s="73">
        <f>+M147+M148</f>
        <v>-0.43099999999999999</v>
      </c>
      <c r="N146" s="73">
        <f>+N147+N148</f>
        <v>-0.43099999999999999</v>
      </c>
      <c r="P146" s="108" t="s">
        <v>211</v>
      </c>
      <c r="Q146" s="108"/>
      <c r="R146" s="108"/>
      <c r="S146" s="108"/>
      <c r="T146" s="108"/>
      <c r="U146" s="108"/>
      <c r="V146" s="108"/>
      <c r="W146" s="108"/>
      <c r="X146" s="108"/>
      <c r="Y146" s="108"/>
      <c r="Z146" s="108"/>
    </row>
    <row r="147" spans="1:26" x14ac:dyDescent="0.3">
      <c r="A147" s="72" t="s">
        <v>137</v>
      </c>
      <c r="B147" s="73">
        <f>+Historicals!B195</f>
        <v>-0.02</v>
      </c>
      <c r="C147" s="73">
        <f>+Historicals!C195</f>
        <v>-0.3</v>
      </c>
      <c r="D147" s="73">
        <f>+Historicals!D195</f>
        <v>0.02</v>
      </c>
      <c r="E147" s="73">
        <f>+Historicals!E195</f>
        <v>0.12</v>
      </c>
      <c r="F147" s="73">
        <f>+Historicals!F195</f>
        <v>-0.53</v>
      </c>
      <c r="G147" s="73">
        <f>+Historicals!G195</f>
        <v>-0.26</v>
      </c>
      <c r="H147" s="73">
        <f>+Historicals!H195</f>
        <v>-0.17</v>
      </c>
      <c r="I147" s="73">
        <f>+Historicals!I195</f>
        <v>3.02</v>
      </c>
      <c r="J147" s="85">
        <v>-0.43099999999999999</v>
      </c>
      <c r="K147" s="85">
        <f t="shared" ref="K147:N148" si="243">+J147</f>
        <v>-0.43099999999999999</v>
      </c>
      <c r="L147" s="85">
        <f t="shared" si="243"/>
        <v>-0.43099999999999999</v>
      </c>
      <c r="M147" s="85">
        <f t="shared" si="243"/>
        <v>-0.43099999999999999</v>
      </c>
      <c r="N147" s="85">
        <f t="shared" si="243"/>
        <v>-0.43099999999999999</v>
      </c>
      <c r="P147" s="108"/>
      <c r="Q147" s="108"/>
      <c r="R147" s="108"/>
      <c r="S147" s="108"/>
      <c r="T147" s="108"/>
      <c r="U147" s="108"/>
      <c r="V147" s="108"/>
      <c r="W147" s="108"/>
      <c r="X147" s="108"/>
      <c r="Y147" s="108"/>
      <c r="Z147" s="108"/>
    </row>
    <row r="148" spans="1:26" x14ac:dyDescent="0.3">
      <c r="A148" s="72" t="s">
        <v>138</v>
      </c>
      <c r="B148" s="73" t="str">
        <f t="shared" ref="B148:I148" si="244">+IFERROR(B146-B147,"nm")</f>
        <v>nm</v>
      </c>
      <c r="C148" s="73">
        <f t="shared" si="244"/>
        <v>-6.5217391304347838E-2</v>
      </c>
      <c r="D148" s="73">
        <f t="shared" si="244"/>
        <v>-0.02</v>
      </c>
      <c r="E148" s="73">
        <f t="shared" si="244"/>
        <v>8.5479452054794458E-2</v>
      </c>
      <c r="F148" s="73">
        <f t="shared" si="244"/>
        <v>7.2727272727273196E-3</v>
      </c>
      <c r="G148" s="73">
        <f t="shared" si="244"/>
        <v>-2.571428571428569E-2</v>
      </c>
      <c r="H148" s="73">
        <f t="shared" si="244"/>
        <v>3.3333333333333826E-3</v>
      </c>
      <c r="I148" s="73">
        <f t="shared" si="244"/>
        <v>6.0000000000000053E-2</v>
      </c>
      <c r="J148" s="75">
        <v>0</v>
      </c>
      <c r="K148" s="75">
        <f t="shared" si="243"/>
        <v>0</v>
      </c>
      <c r="L148" s="75">
        <f t="shared" si="243"/>
        <v>0</v>
      </c>
      <c r="M148" s="75">
        <f t="shared" si="243"/>
        <v>0</v>
      </c>
      <c r="N148" s="75">
        <f t="shared" si="243"/>
        <v>0</v>
      </c>
      <c r="P148" s="108"/>
      <c r="Q148" s="108"/>
      <c r="R148" s="108"/>
      <c r="S148" s="108"/>
      <c r="T148" s="108"/>
      <c r="U148" s="108"/>
      <c r="V148" s="108"/>
      <c r="W148" s="108"/>
      <c r="X148" s="108"/>
      <c r="Y148" s="108"/>
      <c r="Z148" s="108"/>
    </row>
    <row r="149" spans="1:26" x14ac:dyDescent="0.3">
      <c r="A149" s="71" t="s">
        <v>130</v>
      </c>
      <c r="B149" s="76">
        <f t="shared" ref="B149:I149" si="245">+B156+B152</f>
        <v>-2053</v>
      </c>
      <c r="C149" s="76">
        <f t="shared" si="245"/>
        <v>-2366</v>
      </c>
      <c r="D149" s="76">
        <f t="shared" si="245"/>
        <v>-2444</v>
      </c>
      <c r="E149" s="76">
        <f t="shared" si="245"/>
        <v>-2441</v>
      </c>
      <c r="F149" s="76">
        <f t="shared" si="245"/>
        <v>-3067</v>
      </c>
      <c r="G149" s="76">
        <f t="shared" si="245"/>
        <v>-3254</v>
      </c>
      <c r="H149" s="76">
        <f t="shared" si="245"/>
        <v>-3434</v>
      </c>
      <c r="I149" s="76">
        <f t="shared" si="245"/>
        <v>-4042</v>
      </c>
      <c r="J149" s="76">
        <f>+J145*J151</f>
        <v>-2299.8979999999997</v>
      </c>
      <c r="K149" s="76">
        <f>+K145*K151</f>
        <v>-1308.6419619999997</v>
      </c>
      <c r="L149" s="76">
        <f>+L145*L151</f>
        <v>-744.6172763779997</v>
      </c>
      <c r="M149" s="76">
        <f>+M145*M151</f>
        <v>-423.68723025908179</v>
      </c>
      <c r="N149" s="76">
        <f>+N145*N151</f>
        <v>-241.07803401741751</v>
      </c>
    </row>
    <row r="150" spans="1:26" x14ac:dyDescent="0.3">
      <c r="A150" s="77" t="s">
        <v>129</v>
      </c>
      <c r="B150" s="73" t="str">
        <f t="shared" ref="B150:N150" si="246">+IFERROR(B149/A149-1,"nm")</f>
        <v>nm</v>
      </c>
      <c r="C150" s="73">
        <f t="shared" si="246"/>
        <v>0.15245981490501714</v>
      </c>
      <c r="D150" s="73">
        <f t="shared" si="246"/>
        <v>3.2967032967033072E-2</v>
      </c>
      <c r="E150" s="73">
        <f t="shared" si="246"/>
        <v>-1.2274959083469206E-3</v>
      </c>
      <c r="F150" s="73">
        <f t="shared" si="246"/>
        <v>0.25645227365833678</v>
      </c>
      <c r="G150" s="73">
        <f t="shared" si="246"/>
        <v>6.0971633518095869E-2</v>
      </c>
      <c r="H150" s="73">
        <f t="shared" si="246"/>
        <v>5.5316533497234088E-2</v>
      </c>
      <c r="I150" s="73">
        <f t="shared" si="246"/>
        <v>0.1770529994175889</v>
      </c>
      <c r="J150" s="73">
        <f t="shared" si="246"/>
        <v>-0.43100000000000005</v>
      </c>
      <c r="K150" s="73">
        <f t="shared" si="246"/>
        <v>-0.43100000000000005</v>
      </c>
      <c r="L150" s="73">
        <f t="shared" si="246"/>
        <v>-0.43100000000000005</v>
      </c>
      <c r="M150" s="73">
        <f t="shared" si="246"/>
        <v>-0.43100000000000005</v>
      </c>
      <c r="N150" s="73">
        <f t="shared" si="246"/>
        <v>-0.43100000000000005</v>
      </c>
    </row>
    <row r="151" spans="1:26" x14ac:dyDescent="0.3">
      <c r="A151" s="77" t="s">
        <v>131</v>
      </c>
      <c r="B151" s="73">
        <f t="shared" ref="B151:I151" si="247">+IFERROR(B149/B$145,"nm")</f>
        <v>-17.85217391304348</v>
      </c>
      <c r="C151" s="73">
        <f t="shared" si="247"/>
        <v>-32.410958904109592</v>
      </c>
      <c r="D151" s="73">
        <f t="shared" si="247"/>
        <v>-33.479452054794521</v>
      </c>
      <c r="E151" s="73">
        <f t="shared" si="247"/>
        <v>-27.738636363636363</v>
      </c>
      <c r="F151" s="73">
        <f t="shared" si="247"/>
        <v>-73.023809523809518</v>
      </c>
      <c r="G151" s="73">
        <f t="shared" si="247"/>
        <v>-108.46666666666667</v>
      </c>
      <c r="H151" s="73">
        <f t="shared" si="247"/>
        <v>-137.36000000000001</v>
      </c>
      <c r="I151" s="73">
        <f t="shared" si="247"/>
        <v>-39.627450980392155</v>
      </c>
      <c r="J151" s="85">
        <f>+I151</f>
        <v>-39.627450980392155</v>
      </c>
      <c r="K151" s="85">
        <f>+J151</f>
        <v>-39.627450980392155</v>
      </c>
      <c r="L151" s="85">
        <f>+K151</f>
        <v>-39.627450980392155</v>
      </c>
      <c r="M151" s="85">
        <f>+L151</f>
        <v>-39.627450980392155</v>
      </c>
      <c r="N151" s="85">
        <f>+M151</f>
        <v>-39.627450980392155</v>
      </c>
    </row>
    <row r="152" spans="1:26" x14ac:dyDescent="0.3">
      <c r="A152" s="71" t="s">
        <v>132</v>
      </c>
      <c r="B152" s="71">
        <f>+Historicals!B171</f>
        <v>210</v>
      </c>
      <c r="C152" s="71">
        <f>+Historicals!C171</f>
        <v>230</v>
      </c>
      <c r="D152" s="71">
        <f>+Historicals!D171</f>
        <v>233</v>
      </c>
      <c r="E152" s="71">
        <f>+Historicals!E171</f>
        <v>217</v>
      </c>
      <c r="F152" s="71">
        <f>+Historicals!F171</f>
        <v>195</v>
      </c>
      <c r="G152" s="71">
        <f>+Historicals!G171</f>
        <v>214</v>
      </c>
      <c r="H152" s="71">
        <f>+Historicals!H171</f>
        <v>222</v>
      </c>
      <c r="I152" s="71">
        <f>+Historicals!I171</f>
        <v>220</v>
      </c>
      <c r="J152" s="76">
        <f>+J155*J162</f>
        <v>125.17999999999998</v>
      </c>
      <c r="K152" s="76">
        <f>+K155*K162</f>
        <v>71.227419999999981</v>
      </c>
      <c r="L152" s="76">
        <f>+L155*L162</f>
        <v>40.528401979999991</v>
      </c>
      <c r="M152" s="76">
        <f>+M155*M162</f>
        <v>23.060660726619986</v>
      </c>
      <c r="N152" s="76">
        <f>+N155*N162</f>
        <v>13.121515953446773</v>
      </c>
    </row>
    <row r="153" spans="1:26" x14ac:dyDescent="0.3">
      <c r="A153" s="77" t="s">
        <v>129</v>
      </c>
      <c r="B153" s="73" t="str">
        <f t="shared" ref="B153:N153" si="248">+IFERROR(B152/A152-1,"nm")</f>
        <v>nm</v>
      </c>
      <c r="C153" s="73">
        <f t="shared" si="248"/>
        <v>9.5238095238095344E-2</v>
      </c>
      <c r="D153" s="73">
        <f t="shared" si="248"/>
        <v>1.304347826086949E-2</v>
      </c>
      <c r="E153" s="73">
        <f t="shared" si="248"/>
        <v>-6.8669527896995763E-2</v>
      </c>
      <c r="F153" s="73">
        <f t="shared" si="248"/>
        <v>-0.10138248847926268</v>
      </c>
      <c r="G153" s="73">
        <f t="shared" si="248"/>
        <v>9.7435897435897534E-2</v>
      </c>
      <c r="H153" s="73">
        <f t="shared" si="248"/>
        <v>3.7383177570093462E-2</v>
      </c>
      <c r="I153" s="73">
        <f t="shared" si="248"/>
        <v>-9.009009009009028E-3</v>
      </c>
      <c r="J153" s="73">
        <f t="shared" si="248"/>
        <v>-0.43100000000000005</v>
      </c>
      <c r="K153" s="73">
        <f t="shared" si="248"/>
        <v>-0.43100000000000005</v>
      </c>
      <c r="L153" s="73">
        <f t="shared" si="248"/>
        <v>-0.43099999999999994</v>
      </c>
      <c r="M153" s="73">
        <f t="shared" si="248"/>
        <v>-0.43100000000000027</v>
      </c>
      <c r="N153" s="73">
        <f t="shared" si="248"/>
        <v>-0.43099999999999994</v>
      </c>
    </row>
    <row r="154" spans="1:26" x14ac:dyDescent="0.3">
      <c r="A154" s="77" t="s">
        <v>133</v>
      </c>
      <c r="B154" s="73">
        <f t="shared" ref="B154:I154" si="249">+IFERROR(B152/B$145,"nm")</f>
        <v>1.826086956521739</v>
      </c>
      <c r="C154" s="73">
        <f t="shared" si="249"/>
        <v>3.1506849315068495</v>
      </c>
      <c r="D154" s="73">
        <f t="shared" si="249"/>
        <v>3.1917808219178081</v>
      </c>
      <c r="E154" s="73">
        <f t="shared" si="249"/>
        <v>2.4659090909090908</v>
      </c>
      <c r="F154" s="73">
        <f t="shared" si="249"/>
        <v>4.6428571428571432</v>
      </c>
      <c r="G154" s="73">
        <f t="shared" si="249"/>
        <v>7.1333333333333337</v>
      </c>
      <c r="H154" s="73">
        <f t="shared" si="249"/>
        <v>8.8800000000000008</v>
      </c>
      <c r="I154" s="73">
        <f t="shared" si="249"/>
        <v>2.1568627450980391</v>
      </c>
      <c r="J154" s="73">
        <f>+IFERROR(J152/J$21,"nm")</f>
        <v>6.3812227499409936E-3</v>
      </c>
      <c r="K154" s="73">
        <f>+IFERROR(K152/K$21,"nm")</f>
        <v>3.3925124742458217E-3</v>
      </c>
      <c r="L154" s="73">
        <f>+IFERROR(L152/L$21,"nm")</f>
        <v>1.8009368694839511E-3</v>
      </c>
      <c r="M154" s="73">
        <f>+IFERROR(M152/M$21,"nm")</f>
        <v>9.5445698286682917E-4</v>
      </c>
      <c r="N154" s="73">
        <f>+IFERROR(N152/N$21,"nm")</f>
        <v>5.0490174294651549E-4</v>
      </c>
    </row>
    <row r="155" spans="1:26" x14ac:dyDescent="0.3">
      <c r="A155" s="77" t="s">
        <v>140</v>
      </c>
      <c r="B155" s="73">
        <f t="shared" ref="B155:I155" si="250">+IFERROR(B152/B162,"nm")</f>
        <v>0.43388429752066116</v>
      </c>
      <c r="C155" s="73">
        <f t="shared" si="250"/>
        <v>0.45009784735812131</v>
      </c>
      <c r="D155" s="73">
        <f t="shared" si="250"/>
        <v>0.43714821763602252</v>
      </c>
      <c r="E155" s="73">
        <f t="shared" si="250"/>
        <v>0.36348408710217756</v>
      </c>
      <c r="F155" s="73">
        <f t="shared" si="250"/>
        <v>0.2932330827067669</v>
      </c>
      <c r="G155" s="73">
        <f t="shared" si="250"/>
        <v>0.25783132530120484</v>
      </c>
      <c r="H155" s="73">
        <f t="shared" si="250"/>
        <v>0.2846153846153846</v>
      </c>
      <c r="I155" s="73">
        <f t="shared" si="250"/>
        <v>0.27883396704689478</v>
      </c>
      <c r="J155" s="85">
        <f>+I155</f>
        <v>0.27883396704689478</v>
      </c>
      <c r="K155" s="85">
        <f>+J155</f>
        <v>0.27883396704689478</v>
      </c>
      <c r="L155" s="85">
        <f>+K155</f>
        <v>0.27883396704689478</v>
      </c>
      <c r="M155" s="85">
        <f>+L155</f>
        <v>0.27883396704689478</v>
      </c>
      <c r="N155" s="85">
        <f>+M155</f>
        <v>0.27883396704689478</v>
      </c>
    </row>
    <row r="156" spans="1:26" x14ac:dyDescent="0.3">
      <c r="A156" s="71" t="s">
        <v>134</v>
      </c>
      <c r="B156" s="71">
        <f>+Historicals!B138</f>
        <v>-2263</v>
      </c>
      <c r="C156" s="71">
        <f>+Historicals!C138</f>
        <v>-2596</v>
      </c>
      <c r="D156" s="71">
        <f>+Historicals!D138</f>
        <v>-2677</v>
      </c>
      <c r="E156" s="71">
        <f>+Historicals!E138</f>
        <v>-2658</v>
      </c>
      <c r="F156" s="71">
        <f>+Historicals!F138</f>
        <v>-3262</v>
      </c>
      <c r="G156" s="71">
        <f>+Historicals!G138</f>
        <v>-3468</v>
      </c>
      <c r="H156" s="71">
        <f>+Historicals!H138</f>
        <v>-3656</v>
      </c>
      <c r="I156" s="71">
        <f>+Historicals!I138</f>
        <v>-4262</v>
      </c>
      <c r="J156" s="71">
        <f>+J149-J152</f>
        <v>-2425.0779999999995</v>
      </c>
      <c r="K156" s="71">
        <f>+K149-K152</f>
        <v>-1379.8693819999996</v>
      </c>
      <c r="L156" s="71">
        <f>+L149-L152</f>
        <v>-785.14567835799971</v>
      </c>
      <c r="M156" s="71">
        <f>+M149-M152</f>
        <v>-446.74789098570176</v>
      </c>
      <c r="N156" s="71">
        <f>+N149-N152</f>
        <v>-254.19954997086427</v>
      </c>
    </row>
    <row r="157" spans="1:26" x14ac:dyDescent="0.3">
      <c r="A157" s="77" t="s">
        <v>129</v>
      </c>
      <c r="B157" s="73" t="str">
        <f t="shared" ref="B157:N157" si="251">+IFERROR(B156/A156-1,"nm")</f>
        <v>nm</v>
      </c>
      <c r="C157" s="73">
        <f t="shared" si="251"/>
        <v>0.1471498011489174</v>
      </c>
      <c r="D157" s="73">
        <f t="shared" si="251"/>
        <v>3.1201848998459125E-2</v>
      </c>
      <c r="E157" s="73">
        <f t="shared" si="251"/>
        <v>-7.097497198356395E-3</v>
      </c>
      <c r="F157" s="73">
        <f t="shared" si="251"/>
        <v>0.22723852520692245</v>
      </c>
      <c r="G157" s="73">
        <f t="shared" si="251"/>
        <v>6.3151440833844275E-2</v>
      </c>
      <c r="H157" s="73">
        <f t="shared" si="251"/>
        <v>5.4209919261822392E-2</v>
      </c>
      <c r="I157" s="73">
        <f t="shared" si="251"/>
        <v>0.16575492341356668</v>
      </c>
      <c r="J157" s="73">
        <f t="shared" si="251"/>
        <v>-0.43100000000000016</v>
      </c>
      <c r="K157" s="73">
        <f t="shared" si="251"/>
        <v>-0.43100000000000005</v>
      </c>
      <c r="L157" s="73">
        <f t="shared" si="251"/>
        <v>-0.43100000000000005</v>
      </c>
      <c r="M157" s="73">
        <f t="shared" si="251"/>
        <v>-0.43100000000000005</v>
      </c>
      <c r="N157" s="73">
        <f t="shared" si="251"/>
        <v>-0.43100000000000005</v>
      </c>
    </row>
    <row r="158" spans="1:26" x14ac:dyDescent="0.3">
      <c r="A158" s="77" t="s">
        <v>131</v>
      </c>
      <c r="B158" s="73">
        <f t="shared" ref="B158:I158" si="252">+IFERROR(B156/B$145,"nm")</f>
        <v>-19.678260869565218</v>
      </c>
      <c r="C158" s="73">
        <f t="shared" si="252"/>
        <v>-35.561643835616437</v>
      </c>
      <c r="D158" s="73">
        <f t="shared" si="252"/>
        <v>-36.671232876712331</v>
      </c>
      <c r="E158" s="73">
        <f t="shared" si="252"/>
        <v>-30.204545454545453</v>
      </c>
      <c r="F158" s="73">
        <f t="shared" si="252"/>
        <v>-77.666666666666671</v>
      </c>
      <c r="G158" s="73">
        <f t="shared" si="252"/>
        <v>-115.6</v>
      </c>
      <c r="H158" s="73">
        <f t="shared" si="252"/>
        <v>-146.24</v>
      </c>
      <c r="I158" s="73">
        <f t="shared" si="252"/>
        <v>-41.784313725490193</v>
      </c>
      <c r="J158" s="73">
        <f>+IFERROR(J156/J$21,"nm")</f>
        <v>-0.1236216880011296</v>
      </c>
      <c r="K158" s="73">
        <f>+IFERROR(K156/K$21,"nm")</f>
        <v>-6.5722218932889501E-2</v>
      </c>
      <c r="L158" s="73">
        <f>+IFERROR(L156/L$21,"nm")</f>
        <v>-3.4889058807911814E-2</v>
      </c>
      <c r="M158" s="73">
        <f>+IFERROR(M156/M$21,"nm")</f>
        <v>-1.8490434822629211E-2</v>
      </c>
      <c r="N158" s="73">
        <f>+IFERROR(N156/N$21,"nm")</f>
        <v>-9.7813237656274934E-3</v>
      </c>
    </row>
    <row r="159" spans="1:26" x14ac:dyDescent="0.3">
      <c r="A159" s="71" t="s">
        <v>135</v>
      </c>
      <c r="B159" s="71">
        <f>+Historicals!B160</f>
        <v>225</v>
      </c>
      <c r="C159" s="71">
        <f>+Historicals!C160</f>
        <v>258</v>
      </c>
      <c r="D159" s="71">
        <f>+Historicals!D160</f>
        <v>278</v>
      </c>
      <c r="E159" s="71">
        <f>+Historicals!E160</f>
        <v>286</v>
      </c>
      <c r="F159" s="71">
        <f>+Historicals!F160</f>
        <v>278</v>
      </c>
      <c r="G159" s="71">
        <f>+Historicals!G160</f>
        <v>438</v>
      </c>
      <c r="H159" s="71">
        <f>+Historicals!H160</f>
        <v>278</v>
      </c>
      <c r="I159" s="71">
        <f>+Historicals!I160</f>
        <v>222</v>
      </c>
      <c r="J159" s="76">
        <f>+J145*J161</f>
        <v>126.31799999999998</v>
      </c>
      <c r="K159" s="76">
        <f>+K145*K161</f>
        <v>71.87494199999999</v>
      </c>
      <c r="L159" s="76">
        <f>+L145*L161</f>
        <v>40.896841997999985</v>
      </c>
      <c r="M159" s="76">
        <f>+M145*M161</f>
        <v>23.270303096861987</v>
      </c>
      <c r="N159" s="76">
        <f>+N145*N161</f>
        <v>13.24080246211447</v>
      </c>
    </row>
    <row r="160" spans="1:26" x14ac:dyDescent="0.3">
      <c r="A160" s="77" t="s">
        <v>129</v>
      </c>
      <c r="B160" s="73" t="str">
        <f t="shared" ref="B160:N160" si="253">+IFERROR(B159/A159-1,"nm")</f>
        <v>nm</v>
      </c>
      <c r="C160" s="73">
        <f t="shared" si="253"/>
        <v>0.14666666666666672</v>
      </c>
      <c r="D160" s="73">
        <f t="shared" si="253"/>
        <v>7.7519379844961156E-2</v>
      </c>
      <c r="E160" s="73">
        <f t="shared" si="253"/>
        <v>2.877697841726623E-2</v>
      </c>
      <c r="F160" s="73">
        <f t="shared" si="253"/>
        <v>-2.7972027972028024E-2</v>
      </c>
      <c r="G160" s="73">
        <f t="shared" si="253"/>
        <v>0.57553956834532372</v>
      </c>
      <c r="H160" s="73">
        <f t="shared" si="253"/>
        <v>-0.36529680365296802</v>
      </c>
      <c r="I160" s="73">
        <f t="shared" si="253"/>
        <v>-0.20143884892086328</v>
      </c>
      <c r="J160" s="73">
        <f t="shared" si="253"/>
        <v>-0.43100000000000005</v>
      </c>
      <c r="K160" s="73">
        <f t="shared" si="253"/>
        <v>-0.43100000000000005</v>
      </c>
      <c r="L160" s="73">
        <f t="shared" si="253"/>
        <v>-0.43100000000000016</v>
      </c>
      <c r="M160" s="73">
        <f t="shared" si="253"/>
        <v>-0.43100000000000016</v>
      </c>
      <c r="N160" s="73">
        <f t="shared" si="253"/>
        <v>-0.43100000000000005</v>
      </c>
    </row>
    <row r="161" spans="1:14" x14ac:dyDescent="0.3">
      <c r="A161" s="77" t="s">
        <v>133</v>
      </c>
      <c r="B161" s="73">
        <f t="shared" ref="B161:I161" si="254">+IFERROR(B159/B$145,"nm")</f>
        <v>1.9565217391304348</v>
      </c>
      <c r="C161" s="73">
        <f t="shared" si="254"/>
        <v>3.5342465753424657</v>
      </c>
      <c r="D161" s="73">
        <f t="shared" si="254"/>
        <v>3.8082191780821919</v>
      </c>
      <c r="E161" s="73">
        <f t="shared" si="254"/>
        <v>3.25</v>
      </c>
      <c r="F161" s="73">
        <f t="shared" si="254"/>
        <v>6.6190476190476186</v>
      </c>
      <c r="G161" s="73">
        <f t="shared" si="254"/>
        <v>14.6</v>
      </c>
      <c r="H161" s="73">
        <f t="shared" si="254"/>
        <v>11.12</v>
      </c>
      <c r="I161" s="73">
        <f t="shared" si="254"/>
        <v>2.1764705882352939</v>
      </c>
      <c r="J161" s="85">
        <f>+I161</f>
        <v>2.1764705882352939</v>
      </c>
      <c r="K161" s="85">
        <f>+J161</f>
        <v>2.1764705882352939</v>
      </c>
      <c r="L161" s="85">
        <f>+K161</f>
        <v>2.1764705882352939</v>
      </c>
      <c r="M161" s="85">
        <f>+L161</f>
        <v>2.1764705882352939</v>
      </c>
      <c r="N161" s="85">
        <f>+M161</f>
        <v>2.1764705882352939</v>
      </c>
    </row>
    <row r="162" spans="1:14" x14ac:dyDescent="0.3">
      <c r="A162" s="71" t="s">
        <v>141</v>
      </c>
      <c r="B162" s="71">
        <f>Historicals!B149</f>
        <v>484</v>
      </c>
      <c r="C162" s="71">
        <f>Historicals!C149</f>
        <v>511</v>
      </c>
      <c r="D162" s="71">
        <f>Historicals!D149</f>
        <v>533</v>
      </c>
      <c r="E162" s="71">
        <f>Historicals!E149</f>
        <v>597</v>
      </c>
      <c r="F162" s="71">
        <f>Historicals!F149</f>
        <v>665</v>
      </c>
      <c r="G162" s="71">
        <f>Historicals!G149</f>
        <v>830</v>
      </c>
      <c r="H162" s="71">
        <f>Historicals!H149</f>
        <v>780</v>
      </c>
      <c r="I162" s="71">
        <f>Historicals!I149</f>
        <v>789</v>
      </c>
      <c r="J162" s="76">
        <f>+J145*J164</f>
        <v>448.94099999999997</v>
      </c>
      <c r="K162" s="76">
        <f>+K145*K164</f>
        <v>255.44742899999997</v>
      </c>
      <c r="L162" s="76">
        <f>+L145*L164</f>
        <v>145.34958710099997</v>
      </c>
      <c r="M162" s="76">
        <f>+M145*M164</f>
        <v>82.703915060468958</v>
      </c>
      <c r="N162" s="76">
        <f>+N145*N164</f>
        <v>47.058527669406836</v>
      </c>
    </row>
    <row r="163" spans="1:14" x14ac:dyDescent="0.3">
      <c r="A163" s="77" t="s">
        <v>129</v>
      </c>
      <c r="B163" s="73" t="str">
        <f t="shared" ref="B163:I163" si="255">+IFERROR(B162/A162-1,"nm")</f>
        <v>nm</v>
      </c>
      <c r="C163" s="73">
        <f t="shared" si="255"/>
        <v>5.5785123966942241E-2</v>
      </c>
      <c r="D163" s="73">
        <f t="shared" si="255"/>
        <v>4.3052837573385627E-2</v>
      </c>
      <c r="E163" s="73">
        <f t="shared" si="255"/>
        <v>0.12007504690431525</v>
      </c>
      <c r="F163" s="73">
        <f t="shared" si="255"/>
        <v>0.11390284757118918</v>
      </c>
      <c r="G163" s="73">
        <f t="shared" si="255"/>
        <v>0.24812030075187974</v>
      </c>
      <c r="H163" s="73">
        <f t="shared" si="255"/>
        <v>-6.0240963855421659E-2</v>
      </c>
      <c r="I163" s="73">
        <f t="shared" si="255"/>
        <v>1.1538461538461497E-2</v>
      </c>
      <c r="J163" s="73">
        <f t="shared" ref="J163" si="256">+IFERROR(J162/I162-1,"nm")</f>
        <v>-0.43100000000000005</v>
      </c>
      <c r="K163" s="73">
        <f t="shared" ref="K163" si="257">+IFERROR(K162/J162-1,"nm")</f>
        <v>-0.43100000000000005</v>
      </c>
      <c r="L163" s="73">
        <f t="shared" ref="L163" si="258">+IFERROR(L162/K162-1,"nm")</f>
        <v>-0.43100000000000005</v>
      </c>
      <c r="M163" s="73">
        <f t="shared" ref="M163" si="259">+IFERROR(M162/L162-1,"nm")</f>
        <v>-0.43100000000000016</v>
      </c>
      <c r="N163" s="73">
        <f t="shared" ref="N163" si="260">+IFERROR(N162/M162-1,"nm")</f>
        <v>-0.43100000000000005</v>
      </c>
    </row>
    <row r="164" spans="1:14" x14ac:dyDescent="0.3">
      <c r="A164" s="77" t="s">
        <v>133</v>
      </c>
      <c r="B164" s="73">
        <f t="shared" ref="B164:I164" si="261">+IFERROR(B162/B$145,"nm")</f>
        <v>4.2086956521739127</v>
      </c>
      <c r="C164" s="73">
        <f t="shared" si="261"/>
        <v>7</v>
      </c>
      <c r="D164" s="73">
        <f t="shared" si="261"/>
        <v>7.3013698630136989</v>
      </c>
      <c r="E164" s="73">
        <f t="shared" si="261"/>
        <v>6.7840909090909092</v>
      </c>
      <c r="F164" s="73">
        <f t="shared" si="261"/>
        <v>15.833333333333334</v>
      </c>
      <c r="G164" s="73">
        <f t="shared" si="261"/>
        <v>27.666666666666668</v>
      </c>
      <c r="H164" s="73">
        <f t="shared" si="261"/>
        <v>31.2</v>
      </c>
      <c r="I164" s="73">
        <f t="shared" si="261"/>
        <v>7.7352941176470589</v>
      </c>
      <c r="J164" s="85">
        <f>+I164</f>
        <v>7.7352941176470589</v>
      </c>
      <c r="K164" s="85">
        <f>+J164</f>
        <v>7.7352941176470589</v>
      </c>
      <c r="L164" s="85">
        <f>+K164</f>
        <v>7.7352941176470589</v>
      </c>
      <c r="M164" s="85">
        <f>+L164</f>
        <v>7.7352941176470589</v>
      </c>
      <c r="N164" s="85">
        <f>+M164</f>
        <v>7.7352941176470589</v>
      </c>
    </row>
    <row r="165" spans="1:14" x14ac:dyDescent="0.3">
      <c r="A165" s="79" t="str">
        <f>+[1]Historicals!A201</f>
        <v>Converse</v>
      </c>
      <c r="B165" s="69"/>
      <c r="C165" s="69"/>
      <c r="D165" s="69"/>
      <c r="E165" s="69"/>
      <c r="F165" s="69"/>
      <c r="G165" s="69"/>
      <c r="H165" s="69"/>
      <c r="I165" s="69"/>
      <c r="J165" s="80"/>
      <c r="K165" s="80"/>
      <c r="L165" s="80"/>
      <c r="M165" s="80"/>
      <c r="N165" s="80"/>
    </row>
    <row r="166" spans="1:14" x14ac:dyDescent="0.3">
      <c r="A166" s="71" t="s">
        <v>136</v>
      </c>
      <c r="B166" s="71">
        <f>B180</f>
        <v>1982</v>
      </c>
      <c r="C166" s="71">
        <f t="shared" ref="C166:D166" si="262">C180</f>
        <v>1955</v>
      </c>
      <c r="D166" s="71">
        <f t="shared" si="262"/>
        <v>2042</v>
      </c>
      <c r="E166" s="71">
        <f t="shared" ref="E166:I166" si="263">+E168+E172+E176+E180</f>
        <v>1886</v>
      </c>
      <c r="F166" s="71">
        <f t="shared" si="263"/>
        <v>1906</v>
      </c>
      <c r="G166" s="71">
        <f t="shared" si="263"/>
        <v>1846</v>
      </c>
      <c r="H166" s="71">
        <f t="shared" si="263"/>
        <v>2205</v>
      </c>
      <c r="I166" s="71">
        <f t="shared" si="263"/>
        <v>2346</v>
      </c>
      <c r="J166" s="71">
        <f>+SUM(J168+J172+J176+J180)</f>
        <v>2516.0500000000002</v>
      </c>
      <c r="K166" s="71">
        <f>+SUM(K168+K172+K176+K180)</f>
        <v>2716.0939000000003</v>
      </c>
      <c r="L166" s="71">
        <f>+SUM(L168+L172+L176+L180)</f>
        <v>2955.5875510000005</v>
      </c>
      <c r="M166" s="71">
        <f>+SUM(M168+M172+M176+M180)</f>
        <v>3247.8584511100012</v>
      </c>
      <c r="N166" s="71">
        <f>+SUM(N168+N172+N176+N180)</f>
        <v>3611.7121471975011</v>
      </c>
    </row>
    <row r="167" spans="1:14" x14ac:dyDescent="0.3">
      <c r="A167" s="72" t="s">
        <v>129</v>
      </c>
      <c r="B167" s="73" t="str">
        <f t="shared" ref="B167:N167" si="264">+IFERROR(B166/A166-1,"nm")</f>
        <v>nm</v>
      </c>
      <c r="C167" s="73">
        <f t="shared" si="264"/>
        <v>-1.3622603430877955E-2</v>
      </c>
      <c r="D167" s="73">
        <f t="shared" si="264"/>
        <v>4.4501278772378416E-2</v>
      </c>
      <c r="E167" s="73">
        <f t="shared" si="264"/>
        <v>-7.6395690499510338E-2</v>
      </c>
      <c r="F167" s="73">
        <f t="shared" si="264"/>
        <v>1.0604453870625585E-2</v>
      </c>
      <c r="G167" s="73">
        <f t="shared" si="264"/>
        <v>-3.147953830010497E-2</v>
      </c>
      <c r="H167" s="73">
        <f t="shared" si="264"/>
        <v>0.19447453954496208</v>
      </c>
      <c r="I167" s="73">
        <f t="shared" si="264"/>
        <v>6.3945578231292544E-2</v>
      </c>
      <c r="J167" s="73">
        <f t="shared" si="264"/>
        <v>7.2485080988917483E-2</v>
      </c>
      <c r="K167" s="73">
        <f t="shared" si="264"/>
        <v>7.9507124262236495E-2</v>
      </c>
      <c r="L167" s="73">
        <f t="shared" si="264"/>
        <v>8.8175762627352494E-2</v>
      </c>
      <c r="M167" s="73">
        <f t="shared" si="264"/>
        <v>9.8887579903059519E-2</v>
      </c>
      <c r="N167" s="73">
        <f t="shared" si="264"/>
        <v>0.11202880346067667</v>
      </c>
    </row>
    <row r="168" spans="1:14" x14ac:dyDescent="0.3">
      <c r="A168" s="74" t="s">
        <v>113</v>
      </c>
      <c r="B168" s="66" t="str">
        <f>+Historicals!B126</f>
        <v>n/a</v>
      </c>
      <c r="C168" s="66" t="str">
        <f>+Historicals!C126</f>
        <v>n/a</v>
      </c>
      <c r="D168" s="66" t="str">
        <f>+Historicals!D126</f>
        <v>n/a</v>
      </c>
      <c r="E168" s="66">
        <f>+Historicals!E126</f>
        <v>1611</v>
      </c>
      <c r="F168" s="66">
        <f>+Historicals!F126</f>
        <v>1658</v>
      </c>
      <c r="G168" s="66">
        <f>+Historicals!G126</f>
        <v>1642</v>
      </c>
      <c r="H168" s="66">
        <f>+Historicals!H126</f>
        <v>1986</v>
      </c>
      <c r="I168" s="66">
        <f>+Historicals!I126</f>
        <v>2094</v>
      </c>
      <c r="J168" s="71">
        <f>+I168*(1+J169)</f>
        <v>2219.6400000000003</v>
      </c>
      <c r="K168" s="71">
        <f>+J168*(1+K169)</f>
        <v>2352.8184000000006</v>
      </c>
      <c r="L168" s="71">
        <f>+K168*(1+L169)</f>
        <v>2493.9875040000006</v>
      </c>
      <c r="M168" s="71">
        <f>+L168*(1+M169)</f>
        <v>2643.626754240001</v>
      </c>
      <c r="N168" s="71">
        <f>+M168*(1+N169)</f>
        <v>2802.2443594944011</v>
      </c>
    </row>
    <row r="169" spans="1:14" x14ac:dyDescent="0.3">
      <c r="A169" s="72" t="s">
        <v>129</v>
      </c>
      <c r="B169" s="73" t="str">
        <f t="shared" ref="B169:E169" si="265">+IFERROR(B168/A168-1,"nm")</f>
        <v>nm</v>
      </c>
      <c r="C169" s="73" t="str">
        <f t="shared" si="265"/>
        <v>nm</v>
      </c>
      <c r="D169" s="73" t="str">
        <f t="shared" si="265"/>
        <v>nm</v>
      </c>
      <c r="E169" s="73" t="str">
        <f t="shared" si="265"/>
        <v>nm</v>
      </c>
      <c r="F169" s="73">
        <f>+IFERROR(F168/E168-1,"nm")</f>
        <v>2.9174425822470429E-2</v>
      </c>
      <c r="G169" s="73">
        <f>+IFERROR(G168/F168-1,"nm")</f>
        <v>-9.6501809408926498E-3</v>
      </c>
      <c r="H169" s="73">
        <f>+IFERROR(H168/G168-1,"nm")</f>
        <v>0.2095006090133984</v>
      </c>
      <c r="I169" s="73">
        <f>+IFERROR(I168/H168-1,"nm")</f>
        <v>5.4380664652567967E-2</v>
      </c>
      <c r="J169" s="73">
        <f>+J170+J171</f>
        <v>0.06</v>
      </c>
      <c r="K169" s="73">
        <f>+K170+K171</f>
        <v>0.06</v>
      </c>
      <c r="L169" s="73">
        <f>+L170+L171</f>
        <v>0.06</v>
      </c>
      <c r="M169" s="73">
        <f>+M170+M171</f>
        <v>0.06</v>
      </c>
      <c r="N169" s="73">
        <f>+N170+N171</f>
        <v>0.06</v>
      </c>
    </row>
    <row r="170" spans="1:14" x14ac:dyDescent="0.3">
      <c r="A170" s="72" t="s">
        <v>137</v>
      </c>
      <c r="B170" s="81" t="str">
        <f>+Historicals!B198</f>
        <v>nm</v>
      </c>
      <c r="C170" s="81" t="str">
        <f>+Historicals!C198</f>
        <v>nm</v>
      </c>
      <c r="D170" s="81" t="str">
        <f>+Historicals!D198</f>
        <v>nm</v>
      </c>
      <c r="E170" s="81" t="str">
        <f>+Historicals!E198</f>
        <v>nm</v>
      </c>
      <c r="F170" s="81">
        <f>+Historicals!F198</f>
        <v>0.05</v>
      </c>
      <c r="G170" s="81">
        <f>+Historicals!G198</f>
        <v>0.01</v>
      </c>
      <c r="H170" s="81">
        <f>+Historicals!H198</f>
        <v>0.17</v>
      </c>
      <c r="I170" s="81">
        <f>+Historicals!I198</f>
        <v>0.06</v>
      </c>
      <c r="J170" s="85">
        <f>I170</f>
        <v>0.06</v>
      </c>
      <c r="K170" s="85">
        <f t="shared" ref="K170:N171" si="266">+J170</f>
        <v>0.06</v>
      </c>
      <c r="L170" s="85">
        <f t="shared" si="266"/>
        <v>0.06</v>
      </c>
      <c r="M170" s="85">
        <f t="shared" si="266"/>
        <v>0.06</v>
      </c>
      <c r="N170" s="85">
        <f t="shared" si="266"/>
        <v>0.06</v>
      </c>
    </row>
    <row r="171" spans="1:14" x14ac:dyDescent="0.3">
      <c r="A171" s="72" t="s">
        <v>138</v>
      </c>
      <c r="B171" s="73" t="str">
        <f t="shared" ref="B171:E171" si="267">+IFERROR(B169-B170,"nm")</f>
        <v>nm</v>
      </c>
      <c r="C171" s="73" t="str">
        <f t="shared" si="267"/>
        <v>nm</v>
      </c>
      <c r="D171" s="73" t="str">
        <f t="shared" si="267"/>
        <v>nm</v>
      </c>
      <c r="E171" s="73" t="str">
        <f t="shared" si="267"/>
        <v>nm</v>
      </c>
      <c r="F171" s="73">
        <f>+IFERROR(F169-F170,"nm")</f>
        <v>-2.0825574177529574E-2</v>
      </c>
      <c r="G171" s="73">
        <f>+IFERROR(G169-G170,"nm")</f>
        <v>-1.9650180940892652E-2</v>
      </c>
      <c r="H171" s="73">
        <f>+IFERROR(H169-H170,"nm")</f>
        <v>3.9500609013398386E-2</v>
      </c>
      <c r="I171" s="73">
        <f>+IFERROR(I169-I170,"nm")</f>
        <v>-5.6193353474320307E-3</v>
      </c>
      <c r="J171" s="75">
        <v>0</v>
      </c>
      <c r="K171" s="75">
        <f t="shared" si="266"/>
        <v>0</v>
      </c>
      <c r="L171" s="75">
        <f t="shared" si="266"/>
        <v>0</v>
      </c>
      <c r="M171" s="75">
        <f t="shared" si="266"/>
        <v>0</v>
      </c>
      <c r="N171" s="75">
        <f t="shared" si="266"/>
        <v>0</v>
      </c>
    </row>
    <row r="172" spans="1:14" x14ac:dyDescent="0.3">
      <c r="A172" s="74" t="s">
        <v>114</v>
      </c>
      <c r="B172" s="66" t="str">
        <f>+Historicals!B127</f>
        <v>n/a</v>
      </c>
      <c r="C172" s="66" t="str">
        <f>+Historicals!C127</f>
        <v>n/a</v>
      </c>
      <c r="D172" s="66" t="str">
        <f>+Historicals!D127</f>
        <v>n/a</v>
      </c>
      <c r="E172" s="66">
        <f>+Historicals!E127</f>
        <v>144</v>
      </c>
      <c r="F172" s="66">
        <f>+Historicals!F127</f>
        <v>118</v>
      </c>
      <c r="G172" s="66">
        <f>+Historicals!G127</f>
        <v>89</v>
      </c>
      <c r="H172" s="66">
        <f>+Historicals!H127</f>
        <v>104</v>
      </c>
      <c r="I172" s="66">
        <f>+Historicals!I127</f>
        <v>103</v>
      </c>
      <c r="J172" s="82">
        <f>+I172*(1+J173)</f>
        <v>99.91</v>
      </c>
      <c r="K172" s="71">
        <f>+J172*(1+K173)</f>
        <v>96.912700000000001</v>
      </c>
      <c r="L172" s="71">
        <f>+K172*(1+L173)</f>
        <v>94.005319</v>
      </c>
      <c r="M172" s="71">
        <f>+L172*(1+M173)</f>
        <v>91.185159429999999</v>
      </c>
      <c r="N172" s="71">
        <f>+M172*(1+N173)</f>
        <v>88.449604647100003</v>
      </c>
    </row>
    <row r="173" spans="1:14" x14ac:dyDescent="0.3">
      <c r="A173" s="72" t="s">
        <v>129</v>
      </c>
      <c r="B173" s="73" t="str">
        <f t="shared" ref="B173:E173" si="268">+IFERROR(B172/A172-1,"nm")</f>
        <v>nm</v>
      </c>
      <c r="C173" s="73" t="str">
        <f t="shared" si="268"/>
        <v>nm</v>
      </c>
      <c r="D173" s="73" t="str">
        <f t="shared" si="268"/>
        <v>nm</v>
      </c>
      <c r="E173" s="73" t="str">
        <f t="shared" si="268"/>
        <v>nm</v>
      </c>
      <c r="F173" s="73">
        <f>+IFERROR(F172/E172-1,"nm")</f>
        <v>-0.18055555555555558</v>
      </c>
      <c r="G173" s="73">
        <f>+IFERROR(G172/F172-1,"nm")</f>
        <v>-0.24576271186440679</v>
      </c>
      <c r="H173" s="73">
        <f>+IFERROR(H172/G172-1,"nm")</f>
        <v>0.1685393258426966</v>
      </c>
      <c r="I173" s="73">
        <f>+IFERROR(I172/H172-1,"nm")</f>
        <v>-9.6153846153845812E-3</v>
      </c>
      <c r="J173" s="73">
        <f>+J174+J175</f>
        <v>-0.03</v>
      </c>
      <c r="K173" s="73">
        <f>+K174+K175</f>
        <v>-0.03</v>
      </c>
      <c r="L173" s="73">
        <f>+L174+L175</f>
        <v>-0.03</v>
      </c>
      <c r="M173" s="73">
        <f>+M174+M175</f>
        <v>-0.03</v>
      </c>
      <c r="N173" s="73">
        <f>+N174+N175</f>
        <v>-0.03</v>
      </c>
    </row>
    <row r="174" spans="1:14" x14ac:dyDescent="0.3">
      <c r="A174" s="72" t="s">
        <v>137</v>
      </c>
      <c r="B174" s="81" t="str">
        <f>+Historicals!B199</f>
        <v>nm</v>
      </c>
      <c r="C174" s="81" t="str">
        <f>+Historicals!C199</f>
        <v>nm</v>
      </c>
      <c r="D174" s="81" t="str">
        <f>+Historicals!D199</f>
        <v>nm</v>
      </c>
      <c r="E174" s="81" t="str">
        <f>+Historicals!E199</f>
        <v>nm</v>
      </c>
      <c r="F174" s="81">
        <f>+Historicals!F199</f>
        <v>-0.17</v>
      </c>
      <c r="G174" s="81">
        <f>+Historicals!G199</f>
        <v>-0.22</v>
      </c>
      <c r="H174" s="81">
        <f>+Historicals!H199</f>
        <v>0.13</v>
      </c>
      <c r="I174" s="81">
        <f>+Historicals!I199</f>
        <v>-0.03</v>
      </c>
      <c r="J174" s="85">
        <f>I174</f>
        <v>-0.03</v>
      </c>
      <c r="K174" s="85">
        <f t="shared" ref="K174:N175" si="269">+J174</f>
        <v>-0.03</v>
      </c>
      <c r="L174" s="85">
        <f t="shared" si="269"/>
        <v>-0.03</v>
      </c>
      <c r="M174" s="85">
        <f t="shared" si="269"/>
        <v>-0.03</v>
      </c>
      <c r="N174" s="85">
        <f t="shared" si="269"/>
        <v>-0.03</v>
      </c>
    </row>
    <row r="175" spans="1:14" x14ac:dyDescent="0.3">
      <c r="A175" s="72" t="s">
        <v>138</v>
      </c>
      <c r="B175" s="73" t="str">
        <f t="shared" ref="B175:E175" si="270">+IFERROR(B173-B174,"nm")</f>
        <v>nm</v>
      </c>
      <c r="C175" s="73" t="str">
        <f t="shared" si="270"/>
        <v>nm</v>
      </c>
      <c r="D175" s="73" t="str">
        <f t="shared" si="270"/>
        <v>nm</v>
      </c>
      <c r="E175" s="73" t="str">
        <f t="shared" si="270"/>
        <v>nm</v>
      </c>
      <c r="F175" s="73">
        <f>+IFERROR(F173-F174,"nm")</f>
        <v>-1.0555555555555568E-2</v>
      </c>
      <c r="G175" s="73">
        <f>+IFERROR(G173-G174,"nm")</f>
        <v>-2.576271186440679E-2</v>
      </c>
      <c r="H175" s="73">
        <f>+IFERROR(H173-H174,"nm")</f>
        <v>3.8539325842696592E-2</v>
      </c>
      <c r="I175" s="73">
        <f>+IFERROR(I173-I174,"nm")</f>
        <v>2.0384615384615418E-2</v>
      </c>
      <c r="J175" s="75">
        <v>0</v>
      </c>
      <c r="K175" s="75">
        <f t="shared" si="269"/>
        <v>0</v>
      </c>
      <c r="L175" s="75">
        <f t="shared" si="269"/>
        <v>0</v>
      </c>
      <c r="M175" s="75">
        <f t="shared" si="269"/>
        <v>0</v>
      </c>
      <c r="N175" s="75">
        <f t="shared" si="269"/>
        <v>0</v>
      </c>
    </row>
    <row r="176" spans="1:14" x14ac:dyDescent="0.3">
      <c r="A176" s="74" t="s">
        <v>115</v>
      </c>
      <c r="B176" s="66" t="str">
        <f>+Historicals!B128</f>
        <v>n/a</v>
      </c>
      <c r="C176" s="66" t="str">
        <f>+Historicals!C128</f>
        <v>n/a</v>
      </c>
      <c r="D176" s="66" t="str">
        <f>+Historicals!D128</f>
        <v>n/a</v>
      </c>
      <c r="E176" s="66">
        <f>+Historicals!E128</f>
        <v>28</v>
      </c>
      <c r="F176" s="66">
        <f>+Historicals!F128</f>
        <v>24</v>
      </c>
      <c r="G176" s="66">
        <f>+Historicals!G128</f>
        <v>25</v>
      </c>
      <c r="H176" s="66">
        <f>+Historicals!H128</f>
        <v>29</v>
      </c>
      <c r="I176" s="66">
        <f>+Historicals!I128</f>
        <v>26</v>
      </c>
      <c r="J176" s="71">
        <f>+I176*(1+J177)</f>
        <v>21.84</v>
      </c>
      <c r="K176" s="71">
        <f>+J176*(1+K177)</f>
        <v>18.345599999999997</v>
      </c>
      <c r="L176" s="71">
        <f>+K176*(1+L177)</f>
        <v>15.410303999999996</v>
      </c>
      <c r="M176" s="71">
        <f>+L176*(1+M177)</f>
        <v>12.944655359999997</v>
      </c>
      <c r="N176" s="71">
        <f>+M176*(1+N177)</f>
        <v>10.873510502399997</v>
      </c>
    </row>
    <row r="177" spans="1:14" x14ac:dyDescent="0.3">
      <c r="A177" s="72" t="s">
        <v>129</v>
      </c>
      <c r="B177" s="73" t="str">
        <f t="shared" ref="B177:E177" si="271">+IFERROR(B176/A176-1,"nm")</f>
        <v>nm</v>
      </c>
      <c r="C177" s="73" t="str">
        <f t="shared" si="271"/>
        <v>nm</v>
      </c>
      <c r="D177" s="73" t="str">
        <f t="shared" si="271"/>
        <v>nm</v>
      </c>
      <c r="E177" s="73" t="str">
        <f t="shared" si="271"/>
        <v>nm</v>
      </c>
      <c r="F177" s="73">
        <f>+IFERROR(F176/E176-1,"nm")</f>
        <v>-0.1428571428571429</v>
      </c>
      <c r="G177" s="73">
        <f>+IFERROR(G176/F176-1,"nm")</f>
        <v>4.1666666666666741E-2</v>
      </c>
      <c r="H177" s="73">
        <f>+IFERROR(H176/G176-1,"nm")</f>
        <v>0.15999999999999992</v>
      </c>
      <c r="I177" s="73">
        <f>+IFERROR(I176/H176-1,"nm")</f>
        <v>-0.10344827586206895</v>
      </c>
      <c r="J177" s="73">
        <f>+J178+J179</f>
        <v>-0.16</v>
      </c>
      <c r="K177" s="73">
        <f>+K178+K179</f>
        <v>-0.16</v>
      </c>
      <c r="L177" s="73">
        <f>+L178+L179</f>
        <v>-0.16</v>
      </c>
      <c r="M177" s="73">
        <f>+M178+M179</f>
        <v>-0.16</v>
      </c>
      <c r="N177" s="73">
        <f>+N178+N179</f>
        <v>-0.16</v>
      </c>
    </row>
    <row r="178" spans="1:14" x14ac:dyDescent="0.3">
      <c r="A178" s="72" t="s">
        <v>137</v>
      </c>
      <c r="B178" s="81" t="str">
        <f>+Historicals!B200</f>
        <v>nm</v>
      </c>
      <c r="C178" s="81" t="str">
        <f>+Historicals!C200</f>
        <v>nm</v>
      </c>
      <c r="D178" s="81" t="str">
        <f>+Historicals!D200</f>
        <v>nm</v>
      </c>
      <c r="E178" s="81" t="str">
        <f>+Historicals!E200</f>
        <v>nm</v>
      </c>
      <c r="F178" s="81">
        <f>+Historicals!F200</f>
        <v>-0.13</v>
      </c>
      <c r="G178" s="81">
        <f>+Historicals!G200</f>
        <v>0.08</v>
      </c>
      <c r="H178" s="81">
        <f>+Historicals!H200</f>
        <v>0.14000000000000001</v>
      </c>
      <c r="I178" s="81">
        <f>+Historicals!I200</f>
        <v>-0.16</v>
      </c>
      <c r="J178" s="85">
        <f>I178</f>
        <v>-0.16</v>
      </c>
      <c r="K178" s="85">
        <f t="shared" ref="K178:N179" si="272">+J178</f>
        <v>-0.16</v>
      </c>
      <c r="L178" s="85">
        <f t="shared" si="272"/>
        <v>-0.16</v>
      </c>
      <c r="M178" s="85">
        <f t="shared" si="272"/>
        <v>-0.16</v>
      </c>
      <c r="N178" s="85">
        <f t="shared" si="272"/>
        <v>-0.16</v>
      </c>
    </row>
    <row r="179" spans="1:14" x14ac:dyDescent="0.3">
      <c r="A179" s="72" t="s">
        <v>138</v>
      </c>
      <c r="B179" s="73" t="str">
        <f t="shared" ref="B179:E179" si="273">+IFERROR(B177-B178,"nm")</f>
        <v>nm</v>
      </c>
      <c r="C179" s="73" t="str">
        <f t="shared" si="273"/>
        <v>nm</v>
      </c>
      <c r="D179" s="73" t="str">
        <f t="shared" si="273"/>
        <v>nm</v>
      </c>
      <c r="E179" s="73" t="str">
        <f t="shared" si="273"/>
        <v>nm</v>
      </c>
      <c r="F179" s="73">
        <f>+IFERROR(F177-F178,"nm")</f>
        <v>-1.28571428571429E-2</v>
      </c>
      <c r="G179" s="73">
        <f>+IFERROR(G177-G178,"nm")</f>
        <v>-3.8333333333333261E-2</v>
      </c>
      <c r="H179" s="73">
        <f>+IFERROR(H177-H178,"nm")</f>
        <v>1.9999999999999907E-2</v>
      </c>
      <c r="I179" s="73">
        <f>+IFERROR(I177-I178,"nm")</f>
        <v>5.6551724137931053E-2</v>
      </c>
      <c r="J179" s="75">
        <v>0</v>
      </c>
      <c r="K179" s="75">
        <f t="shared" si="272"/>
        <v>0</v>
      </c>
      <c r="L179" s="75">
        <f t="shared" si="272"/>
        <v>0</v>
      </c>
      <c r="M179" s="75">
        <f t="shared" si="272"/>
        <v>0</v>
      </c>
      <c r="N179" s="75">
        <f t="shared" si="272"/>
        <v>0</v>
      </c>
    </row>
    <row r="180" spans="1:14" x14ac:dyDescent="0.3">
      <c r="A180" s="11" t="s">
        <v>121</v>
      </c>
      <c r="B180" s="66">
        <f>+Historicals!B129</f>
        <v>1982</v>
      </c>
      <c r="C180" s="66">
        <f>+Historicals!C129</f>
        <v>1955</v>
      </c>
      <c r="D180" s="66">
        <f>+Historicals!D129</f>
        <v>2042</v>
      </c>
      <c r="E180" s="66">
        <f>+Historicals!E129</f>
        <v>103</v>
      </c>
      <c r="F180" s="66">
        <f>+Historicals!F129</f>
        <v>106</v>
      </c>
      <c r="G180" s="66">
        <f>+Historicals!G129</f>
        <v>90</v>
      </c>
      <c r="H180" s="66">
        <f>+Historicals!H129</f>
        <v>86</v>
      </c>
      <c r="I180" s="66">
        <f>+Historicals!I129</f>
        <v>123</v>
      </c>
      <c r="J180" s="71">
        <f>+I180*(1+J181)</f>
        <v>174.66</v>
      </c>
      <c r="K180" s="71">
        <f>+J180*(1+K181)</f>
        <v>248.01719999999997</v>
      </c>
      <c r="L180" s="71">
        <f>+K180*(1+L181)</f>
        <v>352.18442399999992</v>
      </c>
      <c r="M180" s="71">
        <f>+L180*(1+M181)</f>
        <v>500.10188207999988</v>
      </c>
      <c r="N180" s="71">
        <f>+M180*(1+N181)</f>
        <v>710.14467255359978</v>
      </c>
    </row>
    <row r="181" spans="1:14" x14ac:dyDescent="0.3">
      <c r="A181" s="72" t="s">
        <v>129</v>
      </c>
      <c r="B181" s="73" t="str">
        <f t="shared" ref="B181:E181" si="274">+IFERROR(B180/A180-1,"nm")</f>
        <v>nm</v>
      </c>
      <c r="C181" s="73">
        <f t="shared" si="274"/>
        <v>-1.3622603430877955E-2</v>
      </c>
      <c r="D181" s="73">
        <f t="shared" si="274"/>
        <v>4.4501278772378416E-2</v>
      </c>
      <c r="E181" s="73">
        <f t="shared" si="274"/>
        <v>-0.9495592556317336</v>
      </c>
      <c r="F181" s="73">
        <f>+IFERROR(F180/E180-1,"nm")</f>
        <v>2.9126213592232997E-2</v>
      </c>
      <c r="G181" s="73">
        <f>+IFERROR(G180/F180-1,"nm")</f>
        <v>-0.15094339622641506</v>
      </c>
      <c r="H181" s="73">
        <f>+IFERROR(H180/G180-1,"nm")</f>
        <v>-4.4444444444444398E-2</v>
      </c>
      <c r="I181" s="73">
        <f>+IFERROR(I180/H180-1,"nm")</f>
        <v>0.43023255813953498</v>
      </c>
      <c r="J181" s="73">
        <f>+J182+J183</f>
        <v>0.42</v>
      </c>
      <c r="K181" s="73">
        <f>+K182+K183</f>
        <v>0.42</v>
      </c>
      <c r="L181" s="73">
        <f>+L182+L183</f>
        <v>0.42</v>
      </c>
      <c r="M181" s="73">
        <f>+M182+M183</f>
        <v>0.42</v>
      </c>
      <c r="N181" s="73">
        <f>+N182+N183</f>
        <v>0.42</v>
      </c>
    </row>
    <row r="182" spans="1:14" x14ac:dyDescent="0.3">
      <c r="A182" s="72" t="s">
        <v>137</v>
      </c>
      <c r="B182" s="81">
        <f>+Historicals!B201</f>
        <v>0.21</v>
      </c>
      <c r="C182" s="81">
        <f>+Historicals!C201</f>
        <v>0.02</v>
      </c>
      <c r="D182" s="81">
        <f>+Historicals!D201</f>
        <v>0.06</v>
      </c>
      <c r="E182" s="81">
        <f>+Historicals!E201</f>
        <v>-0.11</v>
      </c>
      <c r="F182" s="81">
        <f>+Historicals!F201</f>
        <v>0.04</v>
      </c>
      <c r="G182" s="81">
        <f>+Historicals!G201</f>
        <v>-0.14000000000000001</v>
      </c>
      <c r="H182" s="81">
        <f>+Historicals!H201</f>
        <v>-0.01</v>
      </c>
      <c r="I182" s="81">
        <f>+Historicals!I201</f>
        <v>0.42</v>
      </c>
      <c r="J182" s="85">
        <f>I182</f>
        <v>0.42</v>
      </c>
      <c r="K182" s="85">
        <f t="shared" ref="K182:N183" si="275">+J182</f>
        <v>0.42</v>
      </c>
      <c r="L182" s="85">
        <f t="shared" si="275"/>
        <v>0.42</v>
      </c>
      <c r="M182" s="85">
        <f t="shared" si="275"/>
        <v>0.42</v>
      </c>
      <c r="N182" s="85">
        <f t="shared" si="275"/>
        <v>0.42</v>
      </c>
    </row>
    <row r="183" spans="1:14" x14ac:dyDescent="0.3">
      <c r="A183" s="72" t="s">
        <v>138</v>
      </c>
      <c r="B183" s="73" t="str">
        <f t="shared" ref="B183:E183" si="276">+IFERROR(B181-B182,"nm")</f>
        <v>nm</v>
      </c>
      <c r="C183" s="73">
        <f t="shared" si="276"/>
        <v>-3.3622603430877959E-2</v>
      </c>
      <c r="D183" s="73">
        <f t="shared" si="276"/>
        <v>-1.5498721227621581E-2</v>
      </c>
      <c r="E183" s="73">
        <f t="shared" si="276"/>
        <v>-0.83955925563173361</v>
      </c>
      <c r="F183" s="73">
        <f>+IFERROR(F181-F182,"nm")</f>
        <v>-1.0873786407767004E-2</v>
      </c>
      <c r="G183" s="73">
        <f>+IFERROR(G181-G182,"nm")</f>
        <v>-1.0943396226415048E-2</v>
      </c>
      <c r="H183" s="73">
        <f>+IFERROR(H181-H182,"nm")</f>
        <v>-3.4444444444444396E-2</v>
      </c>
      <c r="I183" s="73">
        <f>+IFERROR(I181-I182,"nm")</f>
        <v>1.0232558139534997E-2</v>
      </c>
      <c r="J183" s="75">
        <v>0</v>
      </c>
      <c r="K183" s="75">
        <f t="shared" si="275"/>
        <v>0</v>
      </c>
      <c r="L183" s="75">
        <f t="shared" si="275"/>
        <v>0</v>
      </c>
      <c r="M183" s="75">
        <f t="shared" si="275"/>
        <v>0</v>
      </c>
      <c r="N183" s="75">
        <f t="shared" si="275"/>
        <v>0</v>
      </c>
    </row>
    <row r="184" spans="1:14" x14ac:dyDescent="0.3">
      <c r="A184" s="71" t="s">
        <v>130</v>
      </c>
      <c r="B184" s="76">
        <f t="shared" ref="B184:I184" si="277">+B191+B187</f>
        <v>535</v>
      </c>
      <c r="C184" s="76">
        <f t="shared" si="277"/>
        <v>514</v>
      </c>
      <c r="D184" s="76">
        <f t="shared" si="277"/>
        <v>505</v>
      </c>
      <c r="E184" s="76">
        <f t="shared" si="277"/>
        <v>343</v>
      </c>
      <c r="F184" s="76">
        <f t="shared" si="277"/>
        <v>334</v>
      </c>
      <c r="G184" s="76">
        <f t="shared" si="277"/>
        <v>322</v>
      </c>
      <c r="H184" s="76">
        <f t="shared" si="277"/>
        <v>569</v>
      </c>
      <c r="I184" s="76">
        <f t="shared" si="277"/>
        <v>691</v>
      </c>
      <c r="J184" s="76">
        <f>+J166*J186</f>
        <v>741.08719096334187</v>
      </c>
      <c r="K184" s="76">
        <f>+K166*K186</f>
        <v>800.00890234441613</v>
      </c>
      <c r="L184" s="76">
        <f>+L166*L186</f>
        <v>870.55029741730618</v>
      </c>
      <c r="M184" s="76">
        <f>+M166*M186</f>
        <v>956.63690951279227</v>
      </c>
      <c r="N184" s="76">
        <f>+N166*N186</f>
        <v>1063.8077978318299</v>
      </c>
    </row>
    <row r="185" spans="1:14" x14ac:dyDescent="0.3">
      <c r="A185" s="77" t="s">
        <v>129</v>
      </c>
      <c r="B185" s="73" t="str">
        <f t="shared" ref="B185:N185" si="278">+IFERROR(B184/A184-1,"nm")</f>
        <v>nm</v>
      </c>
      <c r="C185" s="73">
        <f t="shared" si="278"/>
        <v>-3.9252336448598157E-2</v>
      </c>
      <c r="D185" s="73">
        <f t="shared" si="278"/>
        <v>-1.7509727626459193E-2</v>
      </c>
      <c r="E185" s="73">
        <f t="shared" si="278"/>
        <v>-0.32079207920792074</v>
      </c>
      <c r="F185" s="73">
        <f t="shared" si="278"/>
        <v>-2.6239067055393583E-2</v>
      </c>
      <c r="G185" s="73">
        <f t="shared" si="278"/>
        <v>-3.59281437125748E-2</v>
      </c>
      <c r="H185" s="73">
        <f t="shared" si="278"/>
        <v>0.76708074534161486</v>
      </c>
      <c r="I185" s="73">
        <f t="shared" si="278"/>
        <v>0.21441124780316345</v>
      </c>
      <c r="J185" s="73">
        <f t="shared" si="278"/>
        <v>7.2485080988917261E-2</v>
      </c>
      <c r="K185" s="73">
        <f t="shared" si="278"/>
        <v>7.9507124262236495E-2</v>
      </c>
      <c r="L185" s="73">
        <f t="shared" si="278"/>
        <v>8.8175762627352494E-2</v>
      </c>
      <c r="M185" s="73">
        <f t="shared" si="278"/>
        <v>9.8887579903059519E-2</v>
      </c>
      <c r="N185" s="73">
        <f t="shared" si="278"/>
        <v>0.11202880346067667</v>
      </c>
    </row>
    <row r="186" spans="1:14" x14ac:dyDescent="0.3">
      <c r="A186" s="77" t="s">
        <v>131</v>
      </c>
      <c r="B186" s="73">
        <f t="shared" ref="B186:I186" si="279">+IFERROR(B184/B$166,"nm")</f>
        <v>0.26992936427850656</v>
      </c>
      <c r="C186" s="73">
        <f t="shared" si="279"/>
        <v>0.26291560102301792</v>
      </c>
      <c r="D186" s="73">
        <f t="shared" si="279"/>
        <v>0.24730656219392752</v>
      </c>
      <c r="E186" s="73">
        <f t="shared" si="279"/>
        <v>0.18186638388123011</v>
      </c>
      <c r="F186" s="73">
        <f t="shared" si="279"/>
        <v>0.17523609653725078</v>
      </c>
      <c r="G186" s="73">
        <f t="shared" si="279"/>
        <v>0.17443120260021669</v>
      </c>
      <c r="H186" s="73">
        <f t="shared" si="279"/>
        <v>0.25804988662131517</v>
      </c>
      <c r="I186" s="73">
        <f t="shared" si="279"/>
        <v>0.29454390451832907</v>
      </c>
      <c r="J186" s="85">
        <f>+I186</f>
        <v>0.29454390451832907</v>
      </c>
      <c r="K186" s="85">
        <f>+J186</f>
        <v>0.29454390451832907</v>
      </c>
      <c r="L186" s="85">
        <f>+K186</f>
        <v>0.29454390451832907</v>
      </c>
      <c r="M186" s="85">
        <f>+L186</f>
        <v>0.29454390451832907</v>
      </c>
      <c r="N186" s="85">
        <f>+M186</f>
        <v>0.29454390451832907</v>
      </c>
    </row>
    <row r="187" spans="1:14" x14ac:dyDescent="0.3">
      <c r="A187" s="71" t="s">
        <v>132</v>
      </c>
      <c r="B187" s="71">
        <f>+Historicals!B173</f>
        <v>18</v>
      </c>
      <c r="C187" s="71">
        <f>+Historicals!C173</f>
        <v>27</v>
      </c>
      <c r="D187" s="71">
        <f>+Historicals!D173</f>
        <v>28</v>
      </c>
      <c r="E187" s="71">
        <f>+Historicals!E173</f>
        <v>33</v>
      </c>
      <c r="F187" s="71">
        <f>+Historicals!F173</f>
        <v>31</v>
      </c>
      <c r="G187" s="71">
        <f>+Historicals!G173</f>
        <v>25</v>
      </c>
      <c r="H187" s="71">
        <f>+Historicals!H173</f>
        <v>26</v>
      </c>
      <c r="I187" s="71">
        <f>+Historicals!I173</f>
        <v>22</v>
      </c>
      <c r="J187" s="76">
        <f>+J190*J197</f>
        <v>23.594671781756183</v>
      </c>
      <c r="K187" s="76">
        <f>+K190*K197</f>
        <v>25.470616283034957</v>
      </c>
      <c r="L187" s="76">
        <f>+L190*L197</f>
        <v>27.716507298380229</v>
      </c>
      <c r="M187" s="76">
        <f>+M190*M197</f>
        <v>30.457325628482533</v>
      </c>
      <c r="N187" s="76">
        <f>+N190*N197</f>
        <v>33.869423375253632</v>
      </c>
    </row>
    <row r="188" spans="1:14" x14ac:dyDescent="0.3">
      <c r="A188" s="77" t="s">
        <v>129</v>
      </c>
      <c r="B188" s="73" t="str">
        <f t="shared" ref="B188:N188" si="280">+IFERROR(B187/A187-1,"nm")</f>
        <v>nm</v>
      </c>
      <c r="C188" s="73">
        <f t="shared" si="280"/>
        <v>0.5</v>
      </c>
      <c r="D188" s="73">
        <f t="shared" si="280"/>
        <v>3.7037037037036979E-2</v>
      </c>
      <c r="E188" s="73">
        <f t="shared" si="280"/>
        <v>0.1785714285714286</v>
      </c>
      <c r="F188" s="73">
        <f t="shared" si="280"/>
        <v>-6.0606060606060552E-2</v>
      </c>
      <c r="G188" s="73">
        <f t="shared" si="280"/>
        <v>-0.19354838709677424</v>
      </c>
      <c r="H188" s="73">
        <f t="shared" si="280"/>
        <v>4.0000000000000036E-2</v>
      </c>
      <c r="I188" s="73">
        <f t="shared" si="280"/>
        <v>-0.15384615384615385</v>
      </c>
      <c r="J188" s="73">
        <f t="shared" si="280"/>
        <v>7.2485080988917483E-2</v>
      </c>
      <c r="K188" s="73">
        <f t="shared" si="280"/>
        <v>7.9507124262236495E-2</v>
      </c>
      <c r="L188" s="73">
        <f t="shared" si="280"/>
        <v>8.8175762627352494E-2</v>
      </c>
      <c r="M188" s="73">
        <f t="shared" si="280"/>
        <v>9.8887579903059297E-2</v>
      </c>
      <c r="N188" s="73">
        <f t="shared" si="280"/>
        <v>0.11202880346067667</v>
      </c>
    </row>
    <row r="189" spans="1:14" x14ac:dyDescent="0.3">
      <c r="A189" s="77" t="s">
        <v>133</v>
      </c>
      <c r="B189" s="73">
        <f t="shared" ref="B189:I189" si="281">+IFERROR(B187/B$166,"nm")</f>
        <v>9.0817356205852677E-3</v>
      </c>
      <c r="C189" s="73">
        <f t="shared" si="281"/>
        <v>1.3810741687979539E-2</v>
      </c>
      <c r="D189" s="73">
        <f t="shared" si="281"/>
        <v>1.3712047012732615E-2</v>
      </c>
      <c r="E189" s="73">
        <f t="shared" si="281"/>
        <v>1.7497348886532343E-2</v>
      </c>
      <c r="F189" s="73">
        <f t="shared" si="281"/>
        <v>1.6264428121720881E-2</v>
      </c>
      <c r="G189" s="73">
        <f t="shared" si="281"/>
        <v>1.3542795232936078E-2</v>
      </c>
      <c r="H189" s="73">
        <f t="shared" si="281"/>
        <v>1.1791383219954649E-2</v>
      </c>
      <c r="I189" s="73">
        <f t="shared" si="281"/>
        <v>9.3776641091219103E-3</v>
      </c>
      <c r="J189" s="73">
        <f>+IFERROR(J187/J$21,"nm")</f>
        <v>1.2027708607695589E-3</v>
      </c>
      <c r="K189" s="73">
        <f>+IFERROR(K187/K$21,"nm")</f>
        <v>1.2131477381452937E-3</v>
      </c>
      <c r="L189" s="73">
        <f>+IFERROR(L187/L$21,"nm")</f>
        <v>1.2316222068564763E-3</v>
      </c>
      <c r="M189" s="73">
        <f>+IFERROR(M187/M$21,"nm")</f>
        <v>1.260597320700222E-3</v>
      </c>
      <c r="N189" s="73">
        <f>+IFERROR(N187/N$21,"nm")</f>
        <v>1.3032587816400112E-3</v>
      </c>
    </row>
    <row r="190" spans="1:14" x14ac:dyDescent="0.3">
      <c r="A190" s="77" t="s">
        <v>140</v>
      </c>
      <c r="B190" s="73">
        <f t="shared" ref="B190:I190" si="282">+IFERROR(B187/B197,"nm")</f>
        <v>0.14754098360655737</v>
      </c>
      <c r="C190" s="73">
        <f t="shared" si="282"/>
        <v>0.216</v>
      </c>
      <c r="D190" s="73">
        <f t="shared" si="282"/>
        <v>0.224</v>
      </c>
      <c r="E190" s="73">
        <f t="shared" si="282"/>
        <v>0.28695652173913044</v>
      </c>
      <c r="F190" s="73">
        <f t="shared" si="282"/>
        <v>0.31</v>
      </c>
      <c r="G190" s="73">
        <f t="shared" si="282"/>
        <v>0.3125</v>
      </c>
      <c r="H190" s="73">
        <f t="shared" si="282"/>
        <v>0.41269841269841268</v>
      </c>
      <c r="I190" s="73">
        <f t="shared" si="282"/>
        <v>0.44897959183673469</v>
      </c>
      <c r="J190" s="85">
        <f>+I190</f>
        <v>0.44897959183673469</v>
      </c>
      <c r="K190" s="85">
        <f>+J190</f>
        <v>0.44897959183673469</v>
      </c>
      <c r="L190" s="85">
        <f>+K190</f>
        <v>0.44897959183673469</v>
      </c>
      <c r="M190" s="85">
        <f>+L190</f>
        <v>0.44897959183673469</v>
      </c>
      <c r="N190" s="85">
        <f>+M190</f>
        <v>0.44897959183673469</v>
      </c>
    </row>
    <row r="191" spans="1:14" x14ac:dyDescent="0.3">
      <c r="A191" s="71" t="s">
        <v>134</v>
      </c>
      <c r="B191" s="71">
        <f>+Historicals!B140</f>
        <v>517</v>
      </c>
      <c r="C191" s="71">
        <f>+Historicals!C140</f>
        <v>487</v>
      </c>
      <c r="D191" s="71">
        <f>+Historicals!D140</f>
        <v>477</v>
      </c>
      <c r="E191" s="71">
        <f>+Historicals!E140</f>
        <v>310</v>
      </c>
      <c r="F191" s="71">
        <f>+Historicals!F140</f>
        <v>303</v>
      </c>
      <c r="G191" s="71">
        <f>+Historicals!G140</f>
        <v>297</v>
      </c>
      <c r="H191" s="71">
        <f>+Historicals!H140</f>
        <v>543</v>
      </c>
      <c r="I191" s="71">
        <f>+Historicals!I140</f>
        <v>669</v>
      </c>
      <c r="J191" s="71">
        <f>+J184-J187</f>
        <v>717.49251918158564</v>
      </c>
      <c r="K191" s="71">
        <f>+K184-K187</f>
        <v>774.5382860613812</v>
      </c>
      <c r="L191" s="71">
        <f>+L184-L187</f>
        <v>842.833790118926</v>
      </c>
      <c r="M191" s="71">
        <f>+M184-M187</f>
        <v>926.17958388430975</v>
      </c>
      <c r="N191" s="71">
        <f>+N184-N187</f>
        <v>1029.9383744565762</v>
      </c>
    </row>
    <row r="192" spans="1:14" x14ac:dyDescent="0.3">
      <c r="A192" s="77" t="s">
        <v>129</v>
      </c>
      <c r="B192" s="73" t="str">
        <f t="shared" ref="B192:N192" si="283">+IFERROR(B191/A191-1,"nm")</f>
        <v>nm</v>
      </c>
      <c r="C192" s="73">
        <f t="shared" si="283"/>
        <v>-5.8027079303675011E-2</v>
      </c>
      <c r="D192" s="73">
        <f t="shared" si="283"/>
        <v>-2.0533880903490731E-2</v>
      </c>
      <c r="E192" s="73">
        <f t="shared" si="283"/>
        <v>-0.35010482180293501</v>
      </c>
      <c r="F192" s="73">
        <f t="shared" si="283"/>
        <v>-2.2580645161290325E-2</v>
      </c>
      <c r="G192" s="73">
        <f t="shared" si="283"/>
        <v>-1.980198019801982E-2</v>
      </c>
      <c r="H192" s="73">
        <f t="shared" si="283"/>
        <v>0.82828282828282829</v>
      </c>
      <c r="I192" s="73">
        <f t="shared" si="283"/>
        <v>0.2320441988950277</v>
      </c>
      <c r="J192" s="73">
        <f t="shared" si="283"/>
        <v>7.2485080988917261E-2</v>
      </c>
      <c r="K192" s="73">
        <f t="shared" si="283"/>
        <v>7.9507124262236717E-2</v>
      </c>
      <c r="L192" s="73">
        <f t="shared" si="283"/>
        <v>8.8175762627352494E-2</v>
      </c>
      <c r="M192" s="73">
        <f t="shared" si="283"/>
        <v>9.8887579903059519E-2</v>
      </c>
      <c r="N192" s="73">
        <f t="shared" si="283"/>
        <v>0.11202880346067645</v>
      </c>
    </row>
    <row r="193" spans="1:26" x14ac:dyDescent="0.3">
      <c r="A193" s="77" t="s">
        <v>131</v>
      </c>
      <c r="B193" s="73">
        <f t="shared" ref="B193:I193" si="284">+IFERROR(B191/B$166,"nm")</f>
        <v>0.26084762865792127</v>
      </c>
      <c r="C193" s="73">
        <f t="shared" si="284"/>
        <v>0.24910485933503837</v>
      </c>
      <c r="D193" s="73">
        <f t="shared" si="284"/>
        <v>0.23359451518119489</v>
      </c>
      <c r="E193" s="73">
        <f t="shared" si="284"/>
        <v>0.16436903499469777</v>
      </c>
      <c r="F193" s="73">
        <f t="shared" si="284"/>
        <v>0.1589716684155299</v>
      </c>
      <c r="G193" s="73">
        <f t="shared" si="284"/>
        <v>0.16088840736728061</v>
      </c>
      <c r="H193" s="73">
        <f t="shared" si="284"/>
        <v>0.24625850340136055</v>
      </c>
      <c r="I193" s="73">
        <f t="shared" si="284"/>
        <v>0.28516624040920718</v>
      </c>
      <c r="J193" s="73">
        <f>+IFERROR(J191/J$21,"nm")</f>
        <v>3.6575168447947032E-2</v>
      </c>
      <c r="K193" s="73">
        <f>+IFERROR(K191/K$21,"nm")</f>
        <v>3.6890719855418252E-2</v>
      </c>
      <c r="L193" s="73">
        <f>+IFERROR(L191/L$21,"nm")</f>
        <v>3.745251165395376E-2</v>
      </c>
      <c r="M193" s="73">
        <f>+IFERROR(M191/M$21,"nm")</f>
        <v>3.8333618524929482E-2</v>
      </c>
      <c r="N193" s="73">
        <f>+IFERROR(N191/N$21,"nm")</f>
        <v>3.9630914768962154E-2</v>
      </c>
    </row>
    <row r="194" spans="1:26" x14ac:dyDescent="0.3">
      <c r="A194" s="71" t="s">
        <v>135</v>
      </c>
      <c r="B194" s="71">
        <f>+Historicals!B162</f>
        <v>69</v>
      </c>
      <c r="C194" s="71">
        <f>+Historicals!C162</f>
        <v>39</v>
      </c>
      <c r="D194" s="71">
        <f>+Historicals!D162</f>
        <v>30</v>
      </c>
      <c r="E194" s="71">
        <f>+Historicals!E162</f>
        <v>22</v>
      </c>
      <c r="F194" s="71">
        <f>+Historicals!F162</f>
        <v>18</v>
      </c>
      <c r="G194" s="71">
        <f>+Historicals!G162</f>
        <v>12</v>
      </c>
      <c r="H194" s="71">
        <f>+Historicals!H162</f>
        <v>7</v>
      </c>
      <c r="I194" s="71">
        <f>+Historicals!I162</f>
        <v>9</v>
      </c>
      <c r="J194" s="76">
        <f>+J166*J196</f>
        <v>9.6523657289002571</v>
      </c>
      <c r="K194" s="76">
        <f>+K166*K196</f>
        <v>10.419797570332483</v>
      </c>
      <c r="L194" s="76">
        <f>+L166*L196</f>
        <v>11.338571167519184</v>
      </c>
      <c r="M194" s="76">
        <f>+M166*M196</f>
        <v>12.459815029833765</v>
      </c>
      <c r="N194" s="76">
        <f>+N166*N196</f>
        <v>13.855673198967395</v>
      </c>
    </row>
    <row r="195" spans="1:26" x14ac:dyDescent="0.3">
      <c r="A195" s="77" t="s">
        <v>129</v>
      </c>
      <c r="B195" s="73" t="str">
        <f t="shared" ref="B195:N195" si="285">+IFERROR(B194/A194-1,"nm")</f>
        <v>nm</v>
      </c>
      <c r="C195" s="73">
        <f t="shared" si="285"/>
        <v>-0.43478260869565222</v>
      </c>
      <c r="D195" s="73">
        <f t="shared" si="285"/>
        <v>-0.23076923076923073</v>
      </c>
      <c r="E195" s="73">
        <f t="shared" si="285"/>
        <v>-0.26666666666666672</v>
      </c>
      <c r="F195" s="73">
        <f t="shared" si="285"/>
        <v>-0.18181818181818177</v>
      </c>
      <c r="G195" s="73">
        <f t="shared" si="285"/>
        <v>-0.33333333333333337</v>
      </c>
      <c r="H195" s="73">
        <f t="shared" si="285"/>
        <v>-0.41666666666666663</v>
      </c>
      <c r="I195" s="73">
        <f t="shared" si="285"/>
        <v>0.28571428571428581</v>
      </c>
      <c r="J195" s="73">
        <f t="shared" si="285"/>
        <v>7.2485080988917483E-2</v>
      </c>
      <c r="K195" s="73">
        <f t="shared" si="285"/>
        <v>7.9507124262236495E-2</v>
      </c>
      <c r="L195" s="73">
        <f t="shared" si="285"/>
        <v>8.8175762627352494E-2</v>
      </c>
      <c r="M195" s="73">
        <f t="shared" si="285"/>
        <v>9.8887579903059519E-2</v>
      </c>
      <c r="N195" s="73">
        <f t="shared" si="285"/>
        <v>0.11202880346067645</v>
      </c>
    </row>
    <row r="196" spans="1:26" x14ac:dyDescent="0.3">
      <c r="A196" s="77" t="s">
        <v>133</v>
      </c>
      <c r="B196" s="73">
        <f t="shared" ref="B196:I196" si="286">+IFERROR(B194/B$166,"nm")</f>
        <v>3.481331987891019E-2</v>
      </c>
      <c r="C196" s="73">
        <f t="shared" si="286"/>
        <v>1.9948849104859334E-2</v>
      </c>
      <c r="D196" s="73">
        <f t="shared" si="286"/>
        <v>1.4691478942213516E-2</v>
      </c>
      <c r="E196" s="73">
        <f t="shared" si="286"/>
        <v>1.166489925768823E-2</v>
      </c>
      <c r="F196" s="73">
        <f t="shared" si="286"/>
        <v>9.4438614900314802E-3</v>
      </c>
      <c r="G196" s="73">
        <f t="shared" si="286"/>
        <v>6.5005417118093175E-3</v>
      </c>
      <c r="H196" s="73">
        <f t="shared" si="286"/>
        <v>3.1746031746031746E-3</v>
      </c>
      <c r="I196" s="73">
        <f t="shared" si="286"/>
        <v>3.8363171355498722E-3</v>
      </c>
      <c r="J196" s="85">
        <f>+I196</f>
        <v>3.8363171355498722E-3</v>
      </c>
      <c r="K196" s="85">
        <f>+J196</f>
        <v>3.8363171355498722E-3</v>
      </c>
      <c r="L196" s="85">
        <f>+K196</f>
        <v>3.8363171355498722E-3</v>
      </c>
      <c r="M196" s="85">
        <f>+L196</f>
        <v>3.8363171355498722E-3</v>
      </c>
      <c r="N196" s="85">
        <f>+M196</f>
        <v>3.8363171355498722E-3</v>
      </c>
    </row>
    <row r="197" spans="1:26" x14ac:dyDescent="0.3">
      <c r="A197" s="71" t="s">
        <v>141</v>
      </c>
      <c r="B197" s="71">
        <f>+Historicals!B151</f>
        <v>122</v>
      </c>
      <c r="C197" s="71">
        <f>+Historicals!C151</f>
        <v>125</v>
      </c>
      <c r="D197" s="71">
        <f>+Historicals!D151</f>
        <v>125</v>
      </c>
      <c r="E197" s="71">
        <f>+Historicals!E151</f>
        <v>115</v>
      </c>
      <c r="F197" s="71">
        <f>+Historicals!F151</f>
        <v>100</v>
      </c>
      <c r="G197" s="71">
        <f>+Historicals!G151</f>
        <v>80</v>
      </c>
      <c r="H197" s="71">
        <f>+Historicals!H151</f>
        <v>63</v>
      </c>
      <c r="I197" s="71">
        <f>+Historicals!I151</f>
        <v>49</v>
      </c>
      <c r="J197" s="76">
        <f>+J166*J199</f>
        <v>52.551768968456955</v>
      </c>
      <c r="K197" s="76">
        <f>+K166*K199</f>
        <v>56.730008994032403</v>
      </c>
      <c r="L197" s="76">
        <f>+L166*L199</f>
        <v>61.732220800937782</v>
      </c>
      <c r="M197" s="76">
        <f>+M166*M199</f>
        <v>67.836770717983825</v>
      </c>
      <c r="N197" s="76">
        <f>+N166*N199</f>
        <v>75.436442972155817</v>
      </c>
    </row>
    <row r="198" spans="1:26" x14ac:dyDescent="0.3">
      <c r="A198" s="77" t="s">
        <v>129</v>
      </c>
      <c r="B198" s="73" t="str">
        <f t="shared" ref="B198:I198" si="287">+IFERROR(B197/A197-1,"nm")</f>
        <v>nm</v>
      </c>
      <c r="C198" s="73">
        <f t="shared" si="287"/>
        <v>2.4590163934426146E-2</v>
      </c>
      <c r="D198" s="73">
        <f t="shared" si="287"/>
        <v>0</v>
      </c>
      <c r="E198" s="73">
        <f t="shared" si="287"/>
        <v>-7.999999999999996E-2</v>
      </c>
      <c r="F198" s="73">
        <f t="shared" si="287"/>
        <v>-0.13043478260869568</v>
      </c>
      <c r="G198" s="73">
        <f t="shared" si="287"/>
        <v>-0.19999999999999996</v>
      </c>
      <c r="H198" s="73">
        <f t="shared" si="287"/>
        <v>-0.21250000000000002</v>
      </c>
      <c r="I198" s="73">
        <f t="shared" si="287"/>
        <v>-0.22222222222222221</v>
      </c>
      <c r="J198" s="73">
        <f t="shared" ref="J198" si="288">+IFERROR(J197/I197-1,"nm")</f>
        <v>7.2485080988917483E-2</v>
      </c>
      <c r="K198" s="73">
        <f t="shared" ref="K198" si="289">+IFERROR(K197/J197-1,"nm")</f>
        <v>7.9507124262236495E-2</v>
      </c>
      <c r="L198" s="73">
        <f t="shared" ref="L198" si="290">+IFERROR(L197/K197-1,"nm")</f>
        <v>8.8175762627352494E-2</v>
      </c>
      <c r="M198" s="73">
        <f t="shared" ref="M198" si="291">+IFERROR(M197/L197-1,"nm")</f>
        <v>9.8887579903059519E-2</v>
      </c>
      <c r="N198" s="73">
        <f t="shared" ref="N198" si="292">+IFERROR(N197/M197-1,"nm")</f>
        <v>0.11202880346067667</v>
      </c>
    </row>
    <row r="199" spans="1:26" x14ac:dyDescent="0.3">
      <c r="A199" s="77" t="s">
        <v>133</v>
      </c>
      <c r="B199" s="73">
        <f t="shared" ref="B199:I199" si="293">+IFERROR(B197/B$166,"nm")</f>
        <v>6.1553985872855703E-2</v>
      </c>
      <c r="C199" s="73">
        <f t="shared" si="293"/>
        <v>6.3938618925831206E-2</v>
      </c>
      <c r="D199" s="73">
        <f t="shared" si="293"/>
        <v>6.1214495592556317E-2</v>
      </c>
      <c r="E199" s="73">
        <f t="shared" si="293"/>
        <v>6.097560975609756E-2</v>
      </c>
      <c r="F199" s="73">
        <f t="shared" si="293"/>
        <v>5.2465897166841552E-2</v>
      </c>
      <c r="G199" s="73">
        <f t="shared" si="293"/>
        <v>4.3336944745395449E-2</v>
      </c>
      <c r="H199" s="73">
        <f t="shared" si="293"/>
        <v>2.8571428571428571E-2</v>
      </c>
      <c r="I199" s="73">
        <f t="shared" si="293"/>
        <v>2.0886615515771527E-2</v>
      </c>
      <c r="J199" s="85">
        <f>+I199</f>
        <v>2.0886615515771527E-2</v>
      </c>
      <c r="K199" s="85">
        <f>+J199</f>
        <v>2.0886615515771527E-2</v>
      </c>
      <c r="L199" s="85">
        <f>+K199</f>
        <v>2.0886615515771527E-2</v>
      </c>
      <c r="M199" s="85">
        <f>+L199</f>
        <v>2.0886615515771527E-2</v>
      </c>
      <c r="N199" s="85">
        <f>+M199</f>
        <v>2.0886615515771527E-2</v>
      </c>
    </row>
    <row r="200" spans="1:26" x14ac:dyDescent="0.3">
      <c r="A200" s="79" t="str">
        <f>+[1]Historicals!A206</f>
        <v>Corporate</v>
      </c>
      <c r="B200" s="69"/>
      <c r="C200" s="69"/>
      <c r="D200" s="69"/>
      <c r="E200" s="69"/>
      <c r="F200" s="69"/>
      <c r="G200" s="69"/>
      <c r="H200" s="69"/>
      <c r="I200" s="69"/>
      <c r="J200" s="69"/>
      <c r="K200" s="69"/>
      <c r="L200" s="69"/>
      <c r="M200" s="69"/>
      <c r="N200" s="69"/>
    </row>
    <row r="201" spans="1:26" x14ac:dyDescent="0.3">
      <c r="A201" s="71" t="s">
        <v>136</v>
      </c>
      <c r="B201" s="71">
        <f>+Historicals!B130</f>
        <v>-82</v>
      </c>
      <c r="C201" s="71">
        <f>+Historicals!C130</f>
        <v>-86</v>
      </c>
      <c r="D201" s="71">
        <f>+Historicals!D130</f>
        <v>75</v>
      </c>
      <c r="E201" s="71">
        <f>+Historicals!E130</f>
        <v>26</v>
      </c>
      <c r="F201" s="71">
        <f>+Historicals!F130</f>
        <v>-7</v>
      </c>
      <c r="G201" s="71">
        <f>+Historicals!G130</f>
        <v>-11</v>
      </c>
      <c r="H201" s="71">
        <f>+Historicals!H130</f>
        <v>40</v>
      </c>
      <c r="I201" s="71">
        <f>+Historicals!I130</f>
        <v>-72</v>
      </c>
      <c r="J201" s="71">
        <f>+I201*(1+J202)</f>
        <v>27</v>
      </c>
      <c r="K201" s="71">
        <f>+J201*(1+K202)</f>
        <v>-10.125</v>
      </c>
      <c r="L201" s="71">
        <f>+K201*(1+L202)</f>
        <v>3.796875</v>
      </c>
      <c r="M201" s="71">
        <f>+L201*(1+M202)</f>
        <v>-1.423828125</v>
      </c>
      <c r="N201" s="71">
        <f>+M201*(1+N202)</f>
        <v>0.533935546875</v>
      </c>
      <c r="P201" s="108" t="s">
        <v>212</v>
      </c>
      <c r="Q201" s="108"/>
      <c r="R201" s="108"/>
      <c r="S201" s="108"/>
      <c r="T201" s="108"/>
      <c r="U201" s="108"/>
      <c r="V201" s="108"/>
      <c r="W201" s="108"/>
      <c r="X201" s="108"/>
      <c r="Y201" s="108"/>
      <c r="Z201" s="108"/>
    </row>
    <row r="202" spans="1:26" x14ac:dyDescent="0.3">
      <c r="A202" s="72" t="s">
        <v>129</v>
      </c>
      <c r="B202" s="73" t="str">
        <f t="shared" ref="B202:I202" si="294">+IFERROR(B201/A201-1,"nm")</f>
        <v>nm</v>
      </c>
      <c r="C202" s="73">
        <f t="shared" si="294"/>
        <v>4.8780487804878092E-2</v>
      </c>
      <c r="D202" s="73">
        <f t="shared" si="294"/>
        <v>-1.8720930232558139</v>
      </c>
      <c r="E202" s="73">
        <f t="shared" si="294"/>
        <v>-0.65333333333333332</v>
      </c>
      <c r="F202" s="73">
        <f t="shared" si="294"/>
        <v>-1.2692307692307692</v>
      </c>
      <c r="G202" s="73">
        <f t="shared" si="294"/>
        <v>0.5714285714285714</v>
      </c>
      <c r="H202" s="73">
        <f t="shared" si="294"/>
        <v>-4.6363636363636367</v>
      </c>
      <c r="I202" s="73">
        <f t="shared" si="294"/>
        <v>-2.8</v>
      </c>
      <c r="J202" s="73">
        <f>+J203+J204</f>
        <v>-1.375</v>
      </c>
      <c r="K202" s="73">
        <f>+K203+K204</f>
        <v>-1.375</v>
      </c>
      <c r="L202" s="73">
        <f>+L203+L204</f>
        <v>-1.375</v>
      </c>
      <c r="M202" s="73">
        <f>+M203+M204</f>
        <v>-1.375</v>
      </c>
      <c r="N202" s="73">
        <f>+N203+N204</f>
        <v>-1.375</v>
      </c>
      <c r="P202" s="108"/>
      <c r="Q202" s="108"/>
      <c r="R202" s="108"/>
      <c r="S202" s="108"/>
      <c r="T202" s="108"/>
      <c r="U202" s="108"/>
      <c r="V202" s="108"/>
      <c r="W202" s="108"/>
      <c r="X202" s="108"/>
      <c r="Y202" s="108"/>
      <c r="Z202" s="108"/>
    </row>
    <row r="203" spans="1:26" x14ac:dyDescent="0.3">
      <c r="A203" s="72" t="s">
        <v>137</v>
      </c>
      <c r="B203" s="73">
        <f>+Historicals!B202</f>
        <v>0</v>
      </c>
      <c r="C203" s="73">
        <f>+Historicals!C202</f>
        <v>0</v>
      </c>
      <c r="D203" s="73">
        <f>+Historicals!D202</f>
        <v>0</v>
      </c>
      <c r="E203" s="73">
        <f>+Historicals!E202</f>
        <v>0</v>
      </c>
      <c r="F203" s="73">
        <f>+Historicals!F202</f>
        <v>0</v>
      </c>
      <c r="G203" s="73">
        <f>+Historicals!G202</f>
        <v>0</v>
      </c>
      <c r="H203" s="73">
        <f>+Historicals!H202</f>
        <v>0</v>
      </c>
      <c r="I203" s="73">
        <f>+Historicals!I202</f>
        <v>0</v>
      </c>
      <c r="J203" s="85">
        <v>-1.375</v>
      </c>
      <c r="K203" s="85">
        <f t="shared" ref="K203:N204" si="295">+J203</f>
        <v>-1.375</v>
      </c>
      <c r="L203" s="85">
        <f t="shared" si="295"/>
        <v>-1.375</v>
      </c>
      <c r="M203" s="85">
        <f t="shared" si="295"/>
        <v>-1.375</v>
      </c>
      <c r="N203" s="85">
        <f t="shared" si="295"/>
        <v>-1.375</v>
      </c>
      <c r="P203" s="108"/>
      <c r="Q203" s="108"/>
      <c r="R203" s="108"/>
      <c r="S203" s="108"/>
      <c r="T203" s="108"/>
      <c r="U203" s="108"/>
      <c r="V203" s="108"/>
      <c r="W203" s="108"/>
      <c r="X203" s="108"/>
      <c r="Y203" s="108"/>
      <c r="Z203" s="108"/>
    </row>
    <row r="204" spans="1:26" x14ac:dyDescent="0.3">
      <c r="A204" s="72" t="s">
        <v>138</v>
      </c>
      <c r="B204" s="73" t="str">
        <f t="shared" ref="B204:D204" si="296">+IFERROR(B202-B203,"nm")</f>
        <v>nm</v>
      </c>
      <c r="C204" s="73">
        <f t="shared" si="296"/>
        <v>4.8780487804878092E-2</v>
      </c>
      <c r="D204" s="73">
        <f t="shared" si="296"/>
        <v>-1.8720930232558139</v>
      </c>
      <c r="E204" s="73">
        <f>+IFERROR(E202-E203,"nm")</f>
        <v>-0.65333333333333332</v>
      </c>
      <c r="F204" s="73">
        <f>+IFERROR(F202-F203,"nm")</f>
        <v>-1.2692307692307692</v>
      </c>
      <c r="G204" s="73">
        <f>+IFERROR(G202-G203,"nm")</f>
        <v>0.5714285714285714</v>
      </c>
      <c r="H204" s="73">
        <f>+IFERROR(H202-H203,"nm")</f>
        <v>-4.6363636363636367</v>
      </c>
      <c r="I204" s="73">
        <f>+IFERROR(I202-I203,"nm")</f>
        <v>-2.8</v>
      </c>
      <c r="J204" s="75">
        <v>0</v>
      </c>
      <c r="K204" s="75">
        <f t="shared" si="295"/>
        <v>0</v>
      </c>
      <c r="L204" s="75">
        <f t="shared" si="295"/>
        <v>0</v>
      </c>
      <c r="M204" s="75">
        <f t="shared" si="295"/>
        <v>0</v>
      </c>
      <c r="N204" s="75">
        <f t="shared" si="295"/>
        <v>0</v>
      </c>
      <c r="P204" s="108"/>
      <c r="Q204" s="108"/>
      <c r="R204" s="108"/>
      <c r="S204" s="108"/>
      <c r="T204" s="108"/>
      <c r="U204" s="108"/>
      <c r="V204" s="108"/>
      <c r="W204" s="108"/>
      <c r="X204" s="108"/>
      <c r="Y204" s="108"/>
      <c r="Z204" s="108"/>
    </row>
    <row r="205" spans="1:26" x14ac:dyDescent="0.3">
      <c r="A205" s="71" t="s">
        <v>130</v>
      </c>
      <c r="B205" s="76">
        <f t="shared" ref="B205:I205" si="297">+B212+B208</f>
        <v>-1026</v>
      </c>
      <c r="C205" s="76">
        <f t="shared" si="297"/>
        <v>-1089</v>
      </c>
      <c r="D205" s="76">
        <f t="shared" si="297"/>
        <v>-633</v>
      </c>
      <c r="E205" s="76">
        <f t="shared" si="297"/>
        <v>-1346</v>
      </c>
      <c r="F205" s="76">
        <f t="shared" si="297"/>
        <v>-1694</v>
      </c>
      <c r="G205" s="76">
        <f t="shared" si="297"/>
        <v>-1855</v>
      </c>
      <c r="H205" s="76">
        <f t="shared" si="297"/>
        <v>-2120</v>
      </c>
      <c r="I205" s="76">
        <f t="shared" si="297"/>
        <v>-2085</v>
      </c>
      <c r="J205" s="76">
        <f>+J201*J207</f>
        <v>781.875</v>
      </c>
      <c r="K205" s="76">
        <f>+K201*K207</f>
        <v>-293.203125</v>
      </c>
      <c r="L205" s="76">
        <f>+L201*L207</f>
        <v>109.951171875</v>
      </c>
      <c r="M205" s="76">
        <f>+M201*M207</f>
        <v>-41.231689453125</v>
      </c>
      <c r="N205" s="76">
        <f>+N201*N207</f>
        <v>15.461883544921875</v>
      </c>
      <c r="P205" s="108"/>
      <c r="Q205" s="108"/>
      <c r="R205" s="108"/>
      <c r="S205" s="108"/>
      <c r="T205" s="108"/>
      <c r="U205" s="108"/>
      <c r="V205" s="108"/>
      <c r="W205" s="108"/>
      <c r="X205" s="108"/>
      <c r="Y205" s="108"/>
      <c r="Z205" s="108"/>
    </row>
    <row r="206" spans="1:26" x14ac:dyDescent="0.3">
      <c r="A206" s="77" t="s">
        <v>129</v>
      </c>
      <c r="B206" s="73" t="str">
        <f t="shared" ref="B206:N206" si="298">+IFERROR(B205/A205-1,"nm")</f>
        <v>nm</v>
      </c>
      <c r="C206" s="73">
        <f t="shared" si="298"/>
        <v>6.1403508771929793E-2</v>
      </c>
      <c r="D206" s="73">
        <f t="shared" si="298"/>
        <v>-0.41873278236914602</v>
      </c>
      <c r="E206" s="73">
        <f t="shared" si="298"/>
        <v>1.126382306477093</v>
      </c>
      <c r="F206" s="73">
        <f t="shared" si="298"/>
        <v>0.25854383358098065</v>
      </c>
      <c r="G206" s="73">
        <f t="shared" si="298"/>
        <v>9.5041322314049603E-2</v>
      </c>
      <c r="H206" s="73">
        <f t="shared" si="298"/>
        <v>0.14285714285714279</v>
      </c>
      <c r="I206" s="73">
        <f t="shared" si="298"/>
        <v>-1.650943396226412E-2</v>
      </c>
      <c r="J206" s="73">
        <f t="shared" si="298"/>
        <v>-1.375</v>
      </c>
      <c r="K206" s="73">
        <f t="shared" si="298"/>
        <v>-1.375</v>
      </c>
      <c r="L206" s="73">
        <f t="shared" si="298"/>
        <v>-1.375</v>
      </c>
      <c r="M206" s="73">
        <f t="shared" si="298"/>
        <v>-1.375</v>
      </c>
      <c r="N206" s="73">
        <f t="shared" si="298"/>
        <v>-1.375</v>
      </c>
    </row>
    <row r="207" spans="1:26" x14ac:dyDescent="0.3">
      <c r="A207" s="77" t="s">
        <v>131</v>
      </c>
      <c r="B207" s="73">
        <f t="shared" ref="B207:I207" si="299">+IFERROR(B205/B$201,"nm")</f>
        <v>12.512195121951219</v>
      </c>
      <c r="C207" s="73">
        <f t="shared" si="299"/>
        <v>12.662790697674419</v>
      </c>
      <c r="D207" s="73">
        <f t="shared" si="299"/>
        <v>-8.44</v>
      </c>
      <c r="E207" s="73">
        <f t="shared" si="299"/>
        <v>-51.769230769230766</v>
      </c>
      <c r="F207" s="73">
        <f t="shared" si="299"/>
        <v>242</v>
      </c>
      <c r="G207" s="73">
        <f t="shared" si="299"/>
        <v>168.63636363636363</v>
      </c>
      <c r="H207" s="73">
        <f t="shared" si="299"/>
        <v>-53</v>
      </c>
      <c r="I207" s="73">
        <f t="shared" si="299"/>
        <v>28.958333333333332</v>
      </c>
      <c r="J207" s="85">
        <f>+I207</f>
        <v>28.958333333333332</v>
      </c>
      <c r="K207" s="85">
        <f>+J207</f>
        <v>28.958333333333332</v>
      </c>
      <c r="L207" s="85">
        <f>+K207</f>
        <v>28.958333333333332</v>
      </c>
      <c r="M207" s="85">
        <f>+L207</f>
        <v>28.958333333333332</v>
      </c>
      <c r="N207" s="85">
        <f>+M207</f>
        <v>28.958333333333332</v>
      </c>
    </row>
    <row r="208" spans="1:26" x14ac:dyDescent="0.3">
      <c r="A208" s="71" t="s">
        <v>132</v>
      </c>
      <c r="B208" s="71">
        <f>+Historicals!B174</f>
        <v>75</v>
      </c>
      <c r="C208" s="71">
        <f>+Historicals!C174</f>
        <v>84</v>
      </c>
      <c r="D208" s="71">
        <f>+Historicals!D174</f>
        <v>91</v>
      </c>
      <c r="E208" s="71">
        <f>+Historicals!E174</f>
        <v>110</v>
      </c>
      <c r="F208" s="71">
        <f>+Historicals!F174</f>
        <v>116</v>
      </c>
      <c r="G208" s="71">
        <f>+Historicals!G174</f>
        <v>112</v>
      </c>
      <c r="H208" s="71">
        <f>+Historicals!H174</f>
        <v>141</v>
      </c>
      <c r="I208" s="71">
        <f>+Historicals!I174</f>
        <v>134</v>
      </c>
      <c r="J208" s="76">
        <f>+J211*J218</f>
        <v>-50.25</v>
      </c>
      <c r="K208" s="76">
        <f>+K211*K218</f>
        <v>18.84375</v>
      </c>
      <c r="L208" s="76">
        <f>+L211*L218</f>
        <v>-7.06640625</v>
      </c>
      <c r="M208" s="76">
        <f>+M211*M218</f>
        <v>2.64990234375</v>
      </c>
      <c r="N208" s="76">
        <f>+N211*N218</f>
        <v>-0.99371337890625</v>
      </c>
    </row>
    <row r="209" spans="1:14" x14ac:dyDescent="0.3">
      <c r="A209" s="77" t="s">
        <v>129</v>
      </c>
      <c r="B209" s="73" t="str">
        <f t="shared" ref="B209:N209" si="300">+IFERROR(B208/A208-1,"nm")</f>
        <v>nm</v>
      </c>
      <c r="C209" s="73">
        <f t="shared" si="300"/>
        <v>0.12000000000000011</v>
      </c>
      <c r="D209" s="73">
        <f t="shared" si="300"/>
        <v>8.3333333333333259E-2</v>
      </c>
      <c r="E209" s="73">
        <f t="shared" si="300"/>
        <v>0.20879120879120872</v>
      </c>
      <c r="F209" s="73">
        <f t="shared" si="300"/>
        <v>5.4545454545454453E-2</v>
      </c>
      <c r="G209" s="73">
        <f t="shared" si="300"/>
        <v>-3.4482758620689613E-2</v>
      </c>
      <c r="H209" s="73">
        <f t="shared" si="300"/>
        <v>0.2589285714285714</v>
      </c>
      <c r="I209" s="73">
        <f t="shared" si="300"/>
        <v>-4.9645390070921946E-2</v>
      </c>
      <c r="J209" s="73">
        <f t="shared" si="300"/>
        <v>-1.375</v>
      </c>
      <c r="K209" s="73">
        <f t="shared" si="300"/>
        <v>-1.375</v>
      </c>
      <c r="L209" s="73">
        <f t="shared" si="300"/>
        <v>-1.375</v>
      </c>
      <c r="M209" s="73">
        <f t="shared" si="300"/>
        <v>-1.375</v>
      </c>
      <c r="N209" s="73">
        <f t="shared" si="300"/>
        <v>-1.375</v>
      </c>
    </row>
    <row r="210" spans="1:14" x14ac:dyDescent="0.3">
      <c r="A210" s="77" t="s">
        <v>133</v>
      </c>
      <c r="B210" s="73">
        <f t="shared" ref="B210:I210" si="301">+IFERROR(B208/B$201,"nm")</f>
        <v>-0.91463414634146345</v>
      </c>
      <c r="C210" s="73">
        <f t="shared" si="301"/>
        <v>-0.97674418604651159</v>
      </c>
      <c r="D210" s="73">
        <f t="shared" si="301"/>
        <v>1.2133333333333334</v>
      </c>
      <c r="E210" s="73">
        <f t="shared" si="301"/>
        <v>4.2307692307692308</v>
      </c>
      <c r="F210" s="73">
        <f t="shared" si="301"/>
        <v>-16.571428571428573</v>
      </c>
      <c r="G210" s="73">
        <f t="shared" si="301"/>
        <v>-10.181818181818182</v>
      </c>
      <c r="H210" s="73">
        <f t="shared" si="301"/>
        <v>3.5249999999999999</v>
      </c>
      <c r="I210" s="73">
        <f t="shared" si="301"/>
        <v>-1.8611111111111112</v>
      </c>
      <c r="J210" s="73">
        <f>+IFERROR(J208/J$21,"nm")</f>
        <v>-2.5615628949076127E-3</v>
      </c>
      <c r="K210" s="73">
        <f>+IFERROR(K208/K$21,"nm")</f>
        <v>8.9751470622647452E-4</v>
      </c>
      <c r="L210" s="73">
        <f>+IFERROR(L208/L$21,"nm")</f>
        <v>-3.1400575716399932E-4</v>
      </c>
      <c r="M210" s="73">
        <f>+IFERROR(M208/M$21,"nm")</f>
        <v>1.0967672721483524E-4</v>
      </c>
      <c r="N210" s="73">
        <f>+IFERROR(N208/N$21,"nm")</f>
        <v>-3.823701611758072E-5</v>
      </c>
    </row>
    <row r="211" spans="1:14" x14ac:dyDescent="0.3">
      <c r="A211" s="77" t="s">
        <v>140</v>
      </c>
      <c r="B211" s="73">
        <f t="shared" ref="B211:I211" si="302">+IFERROR(B208/B218,"nm")</f>
        <v>0.10518934081346423</v>
      </c>
      <c r="C211" s="73">
        <f t="shared" si="302"/>
        <v>8.9647812166488788E-2</v>
      </c>
      <c r="D211" s="73">
        <f t="shared" si="302"/>
        <v>7.3505654281098551E-2</v>
      </c>
      <c r="E211" s="73">
        <f t="shared" si="302"/>
        <v>7.586206896551724E-2</v>
      </c>
      <c r="F211" s="73">
        <f t="shared" si="302"/>
        <v>6.9336521219366412E-2</v>
      </c>
      <c r="G211" s="73">
        <f t="shared" si="302"/>
        <v>5.845511482254697E-2</v>
      </c>
      <c r="H211" s="73">
        <f t="shared" si="302"/>
        <v>7.5401069518716571E-2</v>
      </c>
      <c r="I211" s="73">
        <f t="shared" si="302"/>
        <v>7.374793615850303E-2</v>
      </c>
      <c r="J211" s="85">
        <f>+I211</f>
        <v>7.374793615850303E-2</v>
      </c>
      <c r="K211" s="85">
        <f>+J211</f>
        <v>7.374793615850303E-2</v>
      </c>
      <c r="L211" s="85">
        <f>+K211</f>
        <v>7.374793615850303E-2</v>
      </c>
      <c r="M211" s="85">
        <f>+L211</f>
        <v>7.374793615850303E-2</v>
      </c>
      <c r="N211" s="85">
        <f>+M211</f>
        <v>7.374793615850303E-2</v>
      </c>
    </row>
    <row r="212" spans="1:14" x14ac:dyDescent="0.3">
      <c r="A212" s="71" t="s">
        <v>134</v>
      </c>
      <c r="B212" s="71">
        <f>+Historicals!B141</f>
        <v>-1101</v>
      </c>
      <c r="C212" s="71">
        <f>+Historicals!C141</f>
        <v>-1173</v>
      </c>
      <c r="D212" s="71">
        <f>+Historicals!D141</f>
        <v>-724</v>
      </c>
      <c r="E212" s="71">
        <f>+Historicals!E141</f>
        <v>-1456</v>
      </c>
      <c r="F212" s="71">
        <f>+Historicals!F141</f>
        <v>-1810</v>
      </c>
      <c r="G212" s="71">
        <f>+Historicals!G141</f>
        <v>-1967</v>
      </c>
      <c r="H212" s="71">
        <f>+Historicals!H141</f>
        <v>-2261</v>
      </c>
      <c r="I212" s="71">
        <f>+Historicals!I141</f>
        <v>-2219</v>
      </c>
      <c r="J212" s="71">
        <f>J205-J208</f>
        <v>832.125</v>
      </c>
      <c r="K212" s="71">
        <f t="shared" ref="K212:N212" si="303">K205-K208</f>
        <v>-312.046875</v>
      </c>
      <c r="L212" s="71">
        <f t="shared" si="303"/>
        <v>117.017578125</v>
      </c>
      <c r="M212" s="71">
        <f t="shared" si="303"/>
        <v>-43.881591796875</v>
      </c>
      <c r="N212" s="71">
        <f t="shared" si="303"/>
        <v>16.455596923828125</v>
      </c>
    </row>
    <row r="213" spans="1:14" x14ac:dyDescent="0.3">
      <c r="A213" s="77" t="s">
        <v>129</v>
      </c>
      <c r="B213" s="73" t="str">
        <f t="shared" ref="B213:N213" si="304">+IFERROR(B212/A212-1,"nm")</f>
        <v>nm</v>
      </c>
      <c r="C213" s="73">
        <f t="shared" si="304"/>
        <v>6.5395095367847489E-2</v>
      </c>
      <c r="D213" s="73">
        <f t="shared" si="304"/>
        <v>-0.38277919863597609</v>
      </c>
      <c r="E213" s="73">
        <f t="shared" si="304"/>
        <v>1.0110497237569063</v>
      </c>
      <c r="F213" s="73">
        <f t="shared" si="304"/>
        <v>0.24313186813186816</v>
      </c>
      <c r="G213" s="73">
        <f t="shared" si="304"/>
        <v>8.6740331491712785E-2</v>
      </c>
      <c r="H213" s="73">
        <f t="shared" si="304"/>
        <v>0.14946619217081847</v>
      </c>
      <c r="I213" s="73">
        <f t="shared" si="304"/>
        <v>-1.8575851393188847E-2</v>
      </c>
      <c r="J213" s="73">
        <f t="shared" si="304"/>
        <v>-1.375</v>
      </c>
      <c r="K213" s="73">
        <f t="shared" si="304"/>
        <v>-1.375</v>
      </c>
      <c r="L213" s="73">
        <f t="shared" si="304"/>
        <v>-1.375</v>
      </c>
      <c r="M213" s="73">
        <f t="shared" si="304"/>
        <v>-1.375</v>
      </c>
      <c r="N213" s="73">
        <f t="shared" si="304"/>
        <v>-1.375</v>
      </c>
    </row>
    <row r="214" spans="1:14" x14ac:dyDescent="0.3">
      <c r="A214" s="77" t="s">
        <v>131</v>
      </c>
      <c r="B214" s="73">
        <f t="shared" ref="B214:I214" si="305">+IFERROR(B212/B$201,"nm")</f>
        <v>13.426829268292684</v>
      </c>
      <c r="C214" s="73">
        <f t="shared" si="305"/>
        <v>13.63953488372093</v>
      </c>
      <c r="D214" s="73">
        <f t="shared" si="305"/>
        <v>-9.6533333333333342</v>
      </c>
      <c r="E214" s="73">
        <f t="shared" si="305"/>
        <v>-56</v>
      </c>
      <c r="F214" s="73">
        <f t="shared" si="305"/>
        <v>258.57142857142856</v>
      </c>
      <c r="G214" s="73">
        <f t="shared" si="305"/>
        <v>178.81818181818181</v>
      </c>
      <c r="H214" s="73">
        <f t="shared" si="305"/>
        <v>-56.524999999999999</v>
      </c>
      <c r="I214" s="73">
        <f t="shared" si="305"/>
        <v>30.819444444444443</v>
      </c>
      <c r="J214" s="73">
        <f>+IFERROR(J212/J$21,"nm")</f>
        <v>4.2418716894029797E-2</v>
      </c>
      <c r="K214" s="73">
        <f>+IFERROR(K212/K$21,"nm")</f>
        <v>-1.4862575620272739E-2</v>
      </c>
      <c r="L214" s="73">
        <f>+IFERROR(L212/L$21,"nm")</f>
        <v>5.1998416055739887E-3</v>
      </c>
      <c r="M214" s="73">
        <f>+IFERROR(M212/M$21,"nm")</f>
        <v>-1.8162138633561148E-3</v>
      </c>
      <c r="N214" s="73">
        <f>+IFERROR(N212/N$21,"nm")</f>
        <v>6.3319357287247471E-4</v>
      </c>
    </row>
    <row r="215" spans="1:14" x14ac:dyDescent="0.3">
      <c r="A215" s="71" t="s">
        <v>135</v>
      </c>
      <c r="B215" s="71">
        <f>+Historicals!B163</f>
        <v>104</v>
      </c>
      <c r="C215" s="71">
        <f>+Historicals!C163</f>
        <v>264</v>
      </c>
      <c r="D215" s="71">
        <f>+Historicals!D163</f>
        <v>291</v>
      </c>
      <c r="E215" s="71">
        <f>+Historicals!E163</f>
        <v>159</v>
      </c>
      <c r="F215" s="71">
        <f>+Historicals!F163</f>
        <v>377</v>
      </c>
      <c r="G215" s="71">
        <f>+Historicals!G163</f>
        <v>318</v>
      </c>
      <c r="H215" s="71">
        <f>+Historicals!H163</f>
        <v>11</v>
      </c>
      <c r="I215" s="71">
        <f>+Historicals!I163</f>
        <v>50</v>
      </c>
      <c r="J215" s="76">
        <f>+J201*J217</f>
        <v>-18.75</v>
      </c>
      <c r="K215" s="76">
        <f>+K201*K217</f>
        <v>7.03125</v>
      </c>
      <c r="L215" s="76">
        <f>+L201*L217</f>
        <v>-2.63671875</v>
      </c>
      <c r="M215" s="76">
        <f>+M201*M217</f>
        <v>0.98876953125</v>
      </c>
      <c r="N215" s="76">
        <f>+N201*N217</f>
        <v>-0.37078857421875</v>
      </c>
    </row>
    <row r="216" spans="1:14" x14ac:dyDescent="0.3">
      <c r="A216" s="77" t="s">
        <v>129</v>
      </c>
      <c r="B216" s="73" t="str">
        <f t="shared" ref="B216:N216" si="306">+IFERROR(B215/A215-1,"nm")</f>
        <v>nm</v>
      </c>
      <c r="C216" s="73">
        <f t="shared" si="306"/>
        <v>1.5384615384615383</v>
      </c>
      <c r="D216" s="73">
        <f t="shared" si="306"/>
        <v>0.10227272727272729</v>
      </c>
      <c r="E216" s="73">
        <f t="shared" si="306"/>
        <v>-0.45360824742268047</v>
      </c>
      <c r="F216" s="73">
        <f t="shared" si="306"/>
        <v>1.3710691823899372</v>
      </c>
      <c r="G216" s="73">
        <f t="shared" si="306"/>
        <v>-0.156498673740053</v>
      </c>
      <c r="H216" s="73">
        <f t="shared" si="306"/>
        <v>-0.96540880503144655</v>
      </c>
      <c r="I216" s="73">
        <f t="shared" si="306"/>
        <v>3.5454545454545459</v>
      </c>
      <c r="J216" s="73">
        <f t="shared" si="306"/>
        <v>-1.375</v>
      </c>
      <c r="K216" s="73">
        <f t="shared" si="306"/>
        <v>-1.375</v>
      </c>
      <c r="L216" s="73">
        <f t="shared" si="306"/>
        <v>-1.375</v>
      </c>
      <c r="M216" s="73">
        <f t="shared" si="306"/>
        <v>-1.375</v>
      </c>
      <c r="N216" s="73">
        <f t="shared" si="306"/>
        <v>-1.375</v>
      </c>
    </row>
    <row r="217" spans="1:14" x14ac:dyDescent="0.3">
      <c r="A217" s="77" t="s">
        <v>133</v>
      </c>
      <c r="B217" s="73">
        <f t="shared" ref="B217:I217" si="307">+IFERROR(B215/B$201,"nm")</f>
        <v>-1.2682926829268293</v>
      </c>
      <c r="C217" s="73">
        <f t="shared" si="307"/>
        <v>-3.0697674418604652</v>
      </c>
      <c r="D217" s="73">
        <f t="shared" si="307"/>
        <v>3.88</v>
      </c>
      <c r="E217" s="73">
        <f t="shared" si="307"/>
        <v>6.115384615384615</v>
      </c>
      <c r="F217" s="73">
        <f t="shared" si="307"/>
        <v>-53.857142857142854</v>
      </c>
      <c r="G217" s="73">
        <f t="shared" si="307"/>
        <v>-28.90909090909091</v>
      </c>
      <c r="H217" s="73">
        <f t="shared" si="307"/>
        <v>0.27500000000000002</v>
      </c>
      <c r="I217" s="73">
        <f t="shared" si="307"/>
        <v>-0.69444444444444442</v>
      </c>
      <c r="J217" s="85">
        <f>+I217</f>
        <v>-0.69444444444444442</v>
      </c>
      <c r="K217" s="85">
        <f>+J217</f>
        <v>-0.69444444444444442</v>
      </c>
      <c r="L217" s="85">
        <f>+K217</f>
        <v>-0.69444444444444442</v>
      </c>
      <c r="M217" s="85">
        <f>+L217</f>
        <v>-0.69444444444444442</v>
      </c>
      <c r="N217" s="85">
        <f>+M217</f>
        <v>-0.69444444444444442</v>
      </c>
    </row>
    <row r="218" spans="1:14" x14ac:dyDescent="0.3">
      <c r="A218" s="71" t="s">
        <v>141</v>
      </c>
      <c r="B218" s="71">
        <f>+Historicals!B152</f>
        <v>713</v>
      </c>
      <c r="C218" s="71">
        <f>+Historicals!C152</f>
        <v>937</v>
      </c>
      <c r="D218" s="71">
        <f>+Historicals!D152</f>
        <v>1238</v>
      </c>
      <c r="E218" s="71">
        <f>+Historicals!E152</f>
        <v>1450</v>
      </c>
      <c r="F218" s="71">
        <f>+Historicals!F152</f>
        <v>1673</v>
      </c>
      <c r="G218" s="71">
        <f>+Historicals!G152</f>
        <v>1916</v>
      </c>
      <c r="H218" s="71">
        <f>+Historicals!H152</f>
        <v>1870</v>
      </c>
      <c r="I218" s="71">
        <f>+Historicals!I152</f>
        <v>1817</v>
      </c>
      <c r="J218" s="76">
        <f>+J201*J220</f>
        <v>-681.375</v>
      </c>
      <c r="K218" s="76">
        <f>+K201*K220</f>
        <v>255.515625</v>
      </c>
      <c r="L218" s="76">
        <f>+L201*L220</f>
        <v>-95.818359375</v>
      </c>
      <c r="M218" s="76">
        <f>+M201*M220</f>
        <v>35.931884765625</v>
      </c>
      <c r="N218" s="76">
        <f>+N201*N220</f>
        <v>-13.474456787109375</v>
      </c>
    </row>
    <row r="219" spans="1:14" x14ac:dyDescent="0.3">
      <c r="A219" s="77" t="s">
        <v>129</v>
      </c>
      <c r="B219" s="73" t="str">
        <f t="shared" ref="B219:I219" si="308">+IFERROR(B218/A218-1,"nm")</f>
        <v>nm</v>
      </c>
      <c r="C219" s="73">
        <f t="shared" si="308"/>
        <v>0.31416549789621318</v>
      </c>
      <c r="D219" s="73">
        <f t="shared" si="308"/>
        <v>0.32123799359658478</v>
      </c>
      <c r="E219" s="73">
        <f t="shared" si="308"/>
        <v>0.17124394184168024</v>
      </c>
      <c r="F219" s="73">
        <f t="shared" si="308"/>
        <v>0.15379310344827579</v>
      </c>
      <c r="G219" s="73">
        <f t="shared" si="308"/>
        <v>0.14524805738194857</v>
      </c>
      <c r="H219" s="73">
        <f t="shared" si="308"/>
        <v>-2.4008350730688965E-2</v>
      </c>
      <c r="I219" s="73">
        <f t="shared" si="308"/>
        <v>-2.8342245989304793E-2</v>
      </c>
      <c r="J219" s="73">
        <f t="shared" ref="J219" si="309">+IFERROR(J218/I218-1,"nm")</f>
        <v>-1.375</v>
      </c>
      <c r="K219" s="73">
        <f t="shared" ref="K219" si="310">+IFERROR(K218/J218-1,"nm")</f>
        <v>-1.375</v>
      </c>
      <c r="L219" s="73">
        <f t="shared" ref="L219" si="311">+IFERROR(L218/K218-1,"nm")</f>
        <v>-1.375</v>
      </c>
      <c r="M219" s="73">
        <f t="shared" ref="M219" si="312">+IFERROR(M218/L218-1,"nm")</f>
        <v>-1.375</v>
      </c>
      <c r="N219" s="73">
        <f t="shared" ref="N219" si="313">+IFERROR(N218/M218-1,"nm")</f>
        <v>-1.375</v>
      </c>
    </row>
    <row r="220" spans="1:14" x14ac:dyDescent="0.3">
      <c r="A220" s="77" t="s">
        <v>133</v>
      </c>
      <c r="B220" s="73">
        <f t="shared" ref="B220:I220" si="314">+IFERROR(B218/B$201,"nm")</f>
        <v>-8.6951219512195124</v>
      </c>
      <c r="C220" s="73">
        <f t="shared" si="314"/>
        <v>-10.895348837209303</v>
      </c>
      <c r="D220" s="73">
        <f t="shared" si="314"/>
        <v>16.506666666666668</v>
      </c>
      <c r="E220" s="73">
        <f t="shared" si="314"/>
        <v>55.769230769230766</v>
      </c>
      <c r="F220" s="73">
        <f t="shared" si="314"/>
        <v>-239</v>
      </c>
      <c r="G220" s="73">
        <f t="shared" si="314"/>
        <v>-174.18181818181819</v>
      </c>
      <c r="H220" s="73">
        <f t="shared" si="314"/>
        <v>46.75</v>
      </c>
      <c r="I220" s="73">
        <f t="shared" si="314"/>
        <v>-25.236111111111111</v>
      </c>
      <c r="J220" s="85">
        <f>+I220</f>
        <v>-25.236111111111111</v>
      </c>
      <c r="K220" s="85">
        <f>+J220</f>
        <v>-25.236111111111111</v>
      </c>
      <c r="L220" s="85">
        <f>+K220</f>
        <v>-25.236111111111111</v>
      </c>
      <c r="M220" s="85">
        <f>+L220</f>
        <v>-25.236111111111111</v>
      </c>
      <c r="N220" s="85">
        <f>+M220</f>
        <v>-25.236111111111111</v>
      </c>
    </row>
  </sheetData>
  <mergeCells count="2">
    <mergeCell ref="P146:Z148"/>
    <mergeCell ref="P201:Z20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39"/>
  <sheetViews>
    <sheetView tabSelected="1" workbookViewId="0">
      <selection activeCell="O56" sqref="O56"/>
    </sheetView>
  </sheetViews>
  <sheetFormatPr defaultRowHeight="14.4" x14ac:dyDescent="0.3"/>
  <cols>
    <col min="1" max="1" width="48.77734375" style="50" customWidth="1"/>
    <col min="2" max="13" width="11.77734375" style="50" customWidth="1"/>
    <col min="14" max="14" width="12.33203125" style="50" customWidth="1"/>
    <col min="15" max="15" width="109.77734375" style="50" customWidth="1"/>
    <col min="16" max="16" width="16.44140625" style="50" customWidth="1"/>
    <col min="17" max="16384" width="8.88671875" style="50"/>
  </cols>
  <sheetData>
    <row r="1" spans="1:24"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c r="O1" s="64" t="s">
        <v>197</v>
      </c>
      <c r="P1" s="65"/>
      <c r="Q1" s="65"/>
      <c r="R1" s="65"/>
      <c r="S1" s="65"/>
      <c r="T1" s="65"/>
      <c r="U1" s="65"/>
      <c r="V1" s="65"/>
      <c r="W1" s="65"/>
      <c r="X1" s="65"/>
    </row>
    <row r="2" spans="1:24" x14ac:dyDescent="0.3">
      <c r="A2" s="40" t="s">
        <v>148</v>
      </c>
      <c r="B2" s="40"/>
      <c r="C2" s="40"/>
      <c r="D2" s="40"/>
      <c r="E2" s="40"/>
      <c r="F2" s="40"/>
      <c r="G2" s="40"/>
      <c r="H2" s="40"/>
      <c r="I2" s="40"/>
      <c r="J2" s="40"/>
      <c r="K2" s="40"/>
      <c r="L2" s="40"/>
      <c r="M2" s="40"/>
      <c r="N2" s="40"/>
      <c r="O2" s="141"/>
      <c r="P2" s="109" t="s">
        <v>278</v>
      </c>
      <c r="Q2" s="110">
        <v>2015</v>
      </c>
      <c r="R2" s="110">
        <v>2016</v>
      </c>
      <c r="S2" s="110">
        <v>2017</v>
      </c>
      <c r="T2" s="110">
        <v>2018</v>
      </c>
      <c r="U2" s="110">
        <v>2019</v>
      </c>
      <c r="V2" s="110">
        <v>2020</v>
      </c>
      <c r="W2" s="110">
        <v>2021</v>
      </c>
      <c r="X2" s="111">
        <v>2022</v>
      </c>
    </row>
    <row r="3" spans="1:24" x14ac:dyDescent="0.3">
      <c r="A3" s="5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49681.567999999999</v>
      </c>
      <c r="K3" s="9">
        <f>+'Segmental forecast'!K3</f>
        <v>53173.261922000005</v>
      </c>
      <c r="L3" s="9">
        <f>+'Segmental forecast'!L3</f>
        <v>57420.375920917999</v>
      </c>
      <c r="M3" s="9">
        <f>+'Segmental forecast'!M3</f>
        <v>62424.585047087356</v>
      </c>
      <c r="N3" s="9">
        <f>+'Segmental forecast'!N3</f>
        <v>68309.339960426238</v>
      </c>
      <c r="O3" s="142"/>
      <c r="P3" s="97"/>
      <c r="Q3" s="73"/>
      <c r="R3" s="73"/>
      <c r="S3" s="73"/>
      <c r="T3" s="73"/>
      <c r="U3" s="73"/>
      <c r="V3" s="73"/>
      <c r="W3" s="73"/>
      <c r="X3" s="112"/>
    </row>
    <row r="4" spans="1:24" x14ac:dyDescent="0.3">
      <c r="A4" s="42" t="s">
        <v>129</v>
      </c>
      <c r="B4" s="53">
        <f>IFERROR(B3/Historicals!K2-1,"nm")</f>
        <v>0.10079499262563396</v>
      </c>
      <c r="C4" s="53">
        <f>IFERROR(C3/B3-1,"nm")</f>
        <v>5.8004640371229765E-2</v>
      </c>
      <c r="D4" s="53">
        <f t="shared" ref="D4:N4" si="1">IFERROR(D3/C3-1,"nm")</f>
        <v>6.0971089696071123E-2</v>
      </c>
      <c r="E4" s="53">
        <f t="shared" si="1"/>
        <v>5.95924308588065E-2</v>
      </c>
      <c r="F4" s="53">
        <f t="shared" si="1"/>
        <v>7.4731433909388079E-2</v>
      </c>
      <c r="G4" s="53">
        <f t="shared" si="1"/>
        <v>-4.3817266150267153E-2</v>
      </c>
      <c r="H4" s="53">
        <f t="shared" si="1"/>
        <v>0.19076009945726269</v>
      </c>
      <c r="I4" s="53">
        <f t="shared" si="1"/>
        <v>4.8767344739323759E-2</v>
      </c>
      <c r="J4" s="53">
        <f t="shared" si="1"/>
        <v>6.361738385784621E-2</v>
      </c>
      <c r="K4" s="53">
        <f t="shared" si="1"/>
        <v>7.0281475858410936E-2</v>
      </c>
      <c r="L4" s="53">
        <f t="shared" si="1"/>
        <v>7.9873113768120785E-2</v>
      </c>
      <c r="M4" s="53">
        <f t="shared" si="1"/>
        <v>8.7150406905405653E-2</v>
      </c>
      <c r="N4" s="53">
        <f t="shared" si="1"/>
        <v>9.4269828288004787E-2</v>
      </c>
      <c r="O4" s="142"/>
      <c r="P4" s="118">
        <f>AVERAGE(Q4:X4)</f>
        <v>6.872559568843109E-2</v>
      </c>
      <c r="Q4" s="103">
        <f t="shared" ref="Q4:X4" si="2">B4</f>
        <v>0.10079499262563396</v>
      </c>
      <c r="R4" s="103">
        <f t="shared" si="2"/>
        <v>5.8004640371229765E-2</v>
      </c>
      <c r="S4" s="103">
        <f t="shared" si="2"/>
        <v>6.0971089696071123E-2</v>
      </c>
      <c r="T4" s="103">
        <f t="shared" si="2"/>
        <v>5.95924308588065E-2</v>
      </c>
      <c r="U4" s="103">
        <f t="shared" si="2"/>
        <v>7.4731433909388079E-2</v>
      </c>
      <c r="V4" s="103">
        <f t="shared" si="2"/>
        <v>-4.3817266150267153E-2</v>
      </c>
      <c r="W4" s="103">
        <f t="shared" si="2"/>
        <v>0.19076009945726269</v>
      </c>
      <c r="X4" s="115">
        <f t="shared" si="2"/>
        <v>4.8767344739323759E-2</v>
      </c>
    </row>
    <row r="5" spans="1:24" x14ac:dyDescent="0.3">
      <c r="A5" s="5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I5*(1+J4)</f>
        <v>8054.7744479554694</v>
      </c>
      <c r="K5" s="9">
        <f t="shared" ref="K5:N5" si="3">J5*(1+K4)</f>
        <v>8620.8758838643971</v>
      </c>
      <c r="L5" s="9">
        <f t="shared" si="3"/>
        <v>9309.452084117147</v>
      </c>
      <c r="M5" s="9">
        <f t="shared" si="3"/>
        <v>10120.774621314333</v>
      </c>
      <c r="N5" s="9">
        <f t="shared" si="3"/>
        <v>11074.858307007231</v>
      </c>
      <c r="O5" s="142"/>
      <c r="P5" s="117"/>
      <c r="Q5" s="113"/>
      <c r="R5" s="65"/>
      <c r="S5" s="65"/>
      <c r="T5" s="65"/>
      <c r="U5" s="65"/>
      <c r="V5" s="65"/>
      <c r="W5" s="65"/>
      <c r="X5" s="104"/>
    </row>
    <row r="6" spans="1:24" x14ac:dyDescent="0.3">
      <c r="A6" s="54" t="s">
        <v>132</v>
      </c>
      <c r="B6" s="55">
        <f>+'Segmental forecast'!B8</f>
        <v>606</v>
      </c>
      <c r="C6" s="55">
        <f>+'Segmental forecast'!C8</f>
        <v>649</v>
      </c>
      <c r="D6" s="55">
        <f>+'Segmental forecast'!D8</f>
        <v>706</v>
      </c>
      <c r="E6" s="55">
        <f>+'Segmental forecast'!E8</f>
        <v>747</v>
      </c>
      <c r="F6" s="55">
        <f>+'Segmental forecast'!F8</f>
        <v>705</v>
      </c>
      <c r="G6" s="55">
        <f>+'Segmental forecast'!G8</f>
        <v>721</v>
      </c>
      <c r="H6" s="55">
        <f>+'Segmental forecast'!H8</f>
        <v>744</v>
      </c>
      <c r="I6" s="55">
        <f>+'Segmental forecast'!I8</f>
        <v>717</v>
      </c>
      <c r="J6" s="55">
        <f>I6*(1+J4)</f>
        <v>762.61366422607568</v>
      </c>
      <c r="K6" s="55">
        <f t="shared" ref="K6:N6" si="4">J6*(1+K4)</f>
        <v>816.21127805767492</v>
      </c>
      <c r="L6" s="55">
        <f t="shared" si="4"/>
        <v>881.40461432879886</v>
      </c>
      <c r="M6" s="55">
        <f t="shared" si="4"/>
        <v>958.21938511585586</v>
      </c>
      <c r="N6" s="55">
        <f t="shared" si="4"/>
        <v>1048.5505620129652</v>
      </c>
      <c r="O6" s="142"/>
      <c r="P6" s="117"/>
      <c r="Q6" s="65"/>
      <c r="R6" s="65"/>
      <c r="S6" s="65"/>
      <c r="T6" s="65"/>
      <c r="U6" s="65"/>
      <c r="V6" s="65"/>
      <c r="W6" s="65"/>
      <c r="X6" s="104"/>
    </row>
    <row r="7" spans="1:24" ht="16.2" customHeight="1"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I7*(1+J4)</f>
        <v>7292.1607837293932</v>
      </c>
      <c r="K7" s="5">
        <f t="shared" ref="K7:N7" si="5">J7*(1+K4)</f>
        <v>7804.6646058067217</v>
      </c>
      <c r="L7" s="5">
        <f t="shared" si="5"/>
        <v>8428.0474697883474</v>
      </c>
      <c r="M7" s="5">
        <f t="shared" si="5"/>
        <v>9162.5552361984755</v>
      </c>
      <c r="N7" s="5">
        <f t="shared" si="5"/>
        <v>10026.307744994265</v>
      </c>
      <c r="O7" s="143" t="s">
        <v>290</v>
      </c>
      <c r="P7" s="116"/>
      <c r="Q7" s="73"/>
      <c r="R7" s="73"/>
      <c r="S7" s="73"/>
      <c r="T7" s="73"/>
      <c r="U7" s="73"/>
      <c r="V7" s="73"/>
      <c r="W7" s="73"/>
      <c r="X7" s="112"/>
    </row>
    <row r="8" spans="1:24" x14ac:dyDescent="0.3">
      <c r="A8" s="42" t="s">
        <v>129</v>
      </c>
      <c r="B8" s="53">
        <f>IFERROR(B7/Historicals!L10-1,"nm")</f>
        <v>0.18339390550740853</v>
      </c>
      <c r="C8" s="53">
        <f>IFERROR(C7/B7-1,"nm")</f>
        <v>9.6621781242617555E-2</v>
      </c>
      <c r="D8" s="53">
        <f t="shared" ref="D8:I8" si="6">IFERROR(D7/C7-1,"nm")</f>
        <v>6.5273588970271357E-2</v>
      </c>
      <c r="E8" s="53">
        <f t="shared" si="6"/>
        <v>-0.11445904954499497</v>
      </c>
      <c r="F8" s="53">
        <f t="shared" si="6"/>
        <v>0.10755880337976698</v>
      </c>
      <c r="G8" s="53">
        <f t="shared" si="6"/>
        <v>-0.38639175257731961</v>
      </c>
      <c r="H8" s="53">
        <f t="shared" si="6"/>
        <v>1.32627688172043</v>
      </c>
      <c r="I8" s="53">
        <f t="shared" si="6"/>
        <v>-9.67788530983682E-3</v>
      </c>
      <c r="J8" s="53">
        <f t="shared" ref="J8" si="7">IFERROR(J7/I7-1,"nm")</f>
        <v>6.361738385784621E-2</v>
      </c>
      <c r="K8" s="53">
        <f t="shared" ref="K8" si="8">IFERROR(K7/J7-1,"nm")</f>
        <v>7.0281475858410936E-2</v>
      </c>
      <c r="L8" s="53">
        <f t="shared" ref="L8" si="9">IFERROR(L7/K7-1,"nm")</f>
        <v>7.9873113768120785E-2</v>
      </c>
      <c r="M8" s="53">
        <f t="shared" ref="M8" si="10">IFERROR(M7/L7-1,"nm")</f>
        <v>8.7150406905405653E-2</v>
      </c>
      <c r="N8" s="53">
        <f t="shared" ref="N8" si="11">IFERROR(N7/M7-1,"nm")</f>
        <v>9.4269828288004787E-2</v>
      </c>
      <c r="O8" s="142" t="s">
        <v>289</v>
      </c>
      <c r="P8" s="117"/>
      <c r="Q8" s="65"/>
      <c r="R8" s="65"/>
      <c r="S8" s="65"/>
      <c r="T8" s="65"/>
      <c r="U8" s="65"/>
      <c r="V8" s="65"/>
      <c r="W8" s="65"/>
      <c r="X8" s="104"/>
    </row>
    <row r="9" spans="1:24" x14ac:dyDescent="0.3">
      <c r="A9" s="42" t="s">
        <v>131</v>
      </c>
      <c r="B9" s="53">
        <f>IFERROR(B7/B3,"nm")</f>
        <v>0.13832881278389594</v>
      </c>
      <c r="C9" s="53">
        <f t="shared" ref="C9:N9" si="12">IFERROR(C7/C3,"nm")</f>
        <v>0.14337781072399308</v>
      </c>
      <c r="D9" s="53">
        <f t="shared" si="12"/>
        <v>0.14395924308588065</v>
      </c>
      <c r="E9" s="53">
        <f t="shared" si="12"/>
        <v>0.12031211363573921</v>
      </c>
      <c r="F9" s="53">
        <f t="shared" si="12"/>
        <v>0.12398701331901731</v>
      </c>
      <c r="G9" s="53">
        <f t="shared" si="12"/>
        <v>7.9565810229126011E-2</v>
      </c>
      <c r="H9" s="53">
        <f t="shared" si="12"/>
        <v>0.1554402981723472</v>
      </c>
      <c r="I9" s="53">
        <f t="shared" si="12"/>
        <v>0.14677799186469706</v>
      </c>
      <c r="J9" s="53">
        <f t="shared" si="12"/>
        <v>0.14677799186469706</v>
      </c>
      <c r="K9" s="53">
        <f t="shared" si="12"/>
        <v>0.14677799186469703</v>
      </c>
      <c r="L9" s="53">
        <f t="shared" si="12"/>
        <v>0.14677799186469703</v>
      </c>
      <c r="M9" s="53">
        <f t="shared" si="12"/>
        <v>0.14677799186469703</v>
      </c>
      <c r="N9" s="53">
        <f t="shared" si="12"/>
        <v>0.146777991864697</v>
      </c>
      <c r="O9" s="142"/>
      <c r="P9" s="117"/>
      <c r="Q9" s="65"/>
      <c r="R9" s="65"/>
      <c r="S9" s="65"/>
      <c r="T9" s="65"/>
      <c r="U9" s="65"/>
      <c r="V9" s="65"/>
      <c r="W9" s="65"/>
      <c r="X9" s="104"/>
    </row>
    <row r="10" spans="1:24" x14ac:dyDescent="0.3">
      <c r="A10" s="5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I10*(1+J4)</f>
        <v>218.04156369085848</v>
      </c>
      <c r="K10" s="3">
        <f t="shared" ref="K10:N10" si="13">J10*(1+K4)</f>
        <v>233.36584658552772</v>
      </c>
      <c r="L10" s="3">
        <f t="shared" si="13"/>
        <v>252.00550339944741</v>
      </c>
      <c r="M10" s="3">
        <f t="shared" si="13"/>
        <v>273.96788556311083</v>
      </c>
      <c r="N10" s="3">
        <f t="shared" si="13"/>
        <v>299.79479109157302</v>
      </c>
      <c r="O10" s="142"/>
      <c r="P10" s="65"/>
      <c r="Q10" s="65"/>
      <c r="R10" s="65"/>
      <c r="S10" s="65"/>
      <c r="T10" s="65"/>
      <c r="U10" s="65"/>
      <c r="V10" s="65"/>
      <c r="W10" s="65"/>
      <c r="X10" s="104"/>
    </row>
    <row r="11" spans="1:24" ht="15" customHeight="1" x14ac:dyDescent="0.3">
      <c r="A11" s="4" t="s">
        <v>150</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f>I11*(1+J4)</f>
        <v>7074.1192200385349</v>
      </c>
      <c r="K11" s="5">
        <f t="shared" ref="K11:N11" si="14">J11*(1+K4)</f>
        <v>7571.2987592211939</v>
      </c>
      <c r="L11" s="5">
        <f t="shared" si="14"/>
        <v>8176.0419663888997</v>
      </c>
      <c r="M11" s="5">
        <f t="shared" si="14"/>
        <v>8888.5873506353655</v>
      </c>
      <c r="N11" s="5">
        <f t="shared" si="14"/>
        <v>9726.512953902693</v>
      </c>
      <c r="O11" s="144"/>
      <c r="P11" s="117"/>
      <c r="Q11" s="65"/>
      <c r="R11" s="65"/>
      <c r="S11" s="65"/>
      <c r="T11" s="65"/>
      <c r="U11" s="65"/>
      <c r="V11" s="65"/>
      <c r="W11" s="65"/>
      <c r="X11" s="104"/>
    </row>
    <row r="12" spans="1:24" x14ac:dyDescent="0.3">
      <c r="A12" s="50"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990.37669080539501</v>
      </c>
      <c r="K12" s="3">
        <f t="shared" ref="K12:N12" si="15">K11*K13</f>
        <v>1059.9818262909673</v>
      </c>
      <c r="L12" s="3">
        <f t="shared" si="15"/>
        <v>1144.6458752944461</v>
      </c>
      <c r="M12" s="3">
        <f t="shared" si="15"/>
        <v>1244.4022290889513</v>
      </c>
      <c r="N12" s="3">
        <f t="shared" si="15"/>
        <v>1361.7118135463772</v>
      </c>
      <c r="O12" s="145" t="s">
        <v>296</v>
      </c>
      <c r="Q12" s="65"/>
      <c r="R12" s="65"/>
      <c r="S12" s="65"/>
      <c r="T12" s="65"/>
      <c r="U12" s="65"/>
      <c r="V12" s="65"/>
      <c r="W12" s="65"/>
      <c r="X12" s="104"/>
    </row>
    <row r="13" spans="1:24" x14ac:dyDescent="0.3">
      <c r="A13" s="56" t="s">
        <v>151</v>
      </c>
      <c r="B13" s="57">
        <f>B12/B11</f>
        <v>0.22164090368608799</v>
      </c>
      <c r="C13" s="57">
        <f t="shared" ref="C13:I13" si="16">C12/C11</f>
        <v>0.18667531905688947</v>
      </c>
      <c r="D13" s="57">
        <f t="shared" si="16"/>
        <v>0.13221449038067951</v>
      </c>
      <c r="E13" s="57">
        <f t="shared" si="16"/>
        <v>0.55306358381502885</v>
      </c>
      <c r="F13" s="57">
        <f t="shared" si="16"/>
        <v>0.16079983336804832</v>
      </c>
      <c r="G13" s="57">
        <f t="shared" si="16"/>
        <v>0.12054035330793211</v>
      </c>
      <c r="H13" s="57">
        <f t="shared" si="16"/>
        <v>0.14021918630836211</v>
      </c>
      <c r="I13" s="57">
        <f t="shared" si="16"/>
        <v>9.0963764847391368E-2</v>
      </c>
      <c r="J13" s="58">
        <v>0.14000000000000001</v>
      </c>
      <c r="K13" s="58">
        <v>0.14000000000000001</v>
      </c>
      <c r="L13" s="58">
        <v>0.14000000000000001</v>
      </c>
      <c r="M13" s="58">
        <v>0.14000000000000001</v>
      </c>
      <c r="N13" s="58">
        <v>0.14000000000000001</v>
      </c>
      <c r="O13" s="142" t="s">
        <v>216</v>
      </c>
      <c r="P13" s="119">
        <f>AVERAGE(U13:X13)</f>
        <v>0.14051979099478085</v>
      </c>
      <c r="Q13" s="65"/>
      <c r="R13" s="65"/>
      <c r="S13" s="113"/>
      <c r="T13" s="65"/>
      <c r="U13" s="103">
        <f t="shared" ref="U13:W13" si="17">F13</f>
        <v>0.16079983336804832</v>
      </c>
      <c r="V13" s="103">
        <f t="shared" si="17"/>
        <v>0.12054035330793211</v>
      </c>
      <c r="W13" s="103">
        <f t="shared" si="17"/>
        <v>0.14021918630836211</v>
      </c>
      <c r="X13" s="115"/>
    </row>
    <row r="14" spans="1:24" ht="15" thickBot="1" x14ac:dyDescent="0.35">
      <c r="A14" s="6" t="s">
        <v>152</v>
      </c>
      <c r="B14" s="7">
        <f>B11-B12</f>
        <v>3273</v>
      </c>
      <c r="C14" s="7">
        <f t="shared" ref="C14:N14" si="18">C11-C12</f>
        <v>3760</v>
      </c>
      <c r="D14" s="7">
        <f t="shared" si="18"/>
        <v>4240</v>
      </c>
      <c r="E14" s="7">
        <f t="shared" si="18"/>
        <v>1933</v>
      </c>
      <c r="F14" s="7">
        <f t="shared" si="18"/>
        <v>4029</v>
      </c>
      <c r="G14" s="7">
        <f t="shared" si="18"/>
        <v>2539</v>
      </c>
      <c r="H14" s="7">
        <f t="shared" si="18"/>
        <v>5727</v>
      </c>
      <c r="I14" s="7">
        <f t="shared" si="18"/>
        <v>6046</v>
      </c>
      <c r="J14" s="7">
        <f t="shared" si="18"/>
        <v>6083.74252923314</v>
      </c>
      <c r="K14" s="7">
        <f t="shared" si="18"/>
        <v>6511.3169329302264</v>
      </c>
      <c r="L14" s="7">
        <f t="shared" si="18"/>
        <v>7031.3960910944534</v>
      </c>
      <c r="M14" s="7">
        <f t="shared" si="18"/>
        <v>7644.1851215464139</v>
      </c>
      <c r="N14" s="7">
        <f t="shared" si="18"/>
        <v>8364.801140356316</v>
      </c>
      <c r="O14" s="142" t="s">
        <v>307</v>
      </c>
      <c r="P14" s="65"/>
      <c r="Q14" s="65"/>
      <c r="R14" s="65"/>
      <c r="S14" s="113"/>
      <c r="T14" s="65"/>
      <c r="U14" s="65"/>
      <c r="V14" s="65"/>
      <c r="W14" s="65"/>
      <c r="X14" s="104"/>
    </row>
    <row r="15" spans="1:24" ht="15" thickTop="1" x14ac:dyDescent="0.3">
      <c r="A15" s="50"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105">
        <v>1568</v>
      </c>
      <c r="K15" s="105">
        <v>1528</v>
      </c>
      <c r="L15" s="105">
        <v>1488</v>
      </c>
      <c r="M15" s="105">
        <v>1448</v>
      </c>
      <c r="N15" s="105">
        <v>1408</v>
      </c>
      <c r="O15" s="142" t="s">
        <v>308</v>
      </c>
      <c r="P15" s="117"/>
      <c r="Q15" s="65"/>
      <c r="R15" s="65"/>
      <c r="S15" s="65"/>
      <c r="T15" s="65"/>
      <c r="U15" s="65"/>
      <c r="V15" s="65"/>
      <c r="W15" s="65"/>
      <c r="X15" s="104"/>
    </row>
    <row r="16" spans="1:24" x14ac:dyDescent="0.3">
      <c r="A16" s="50" t="s">
        <v>154</v>
      </c>
      <c r="B16" s="59">
        <f>Historicals!B14</f>
        <v>1.9</v>
      </c>
      <c r="C16" s="59">
        <f>Historicals!C14</f>
        <v>2.21</v>
      </c>
      <c r="D16" s="59">
        <f>Historicals!D14</f>
        <v>2.56</v>
      </c>
      <c r="E16" s="59">
        <f>Historicals!E14</f>
        <v>1.19</v>
      </c>
      <c r="F16" s="59">
        <f>Historicals!F14</f>
        <v>2.5499999999999998</v>
      </c>
      <c r="G16" s="59">
        <f>Historicals!G14</f>
        <v>1.63</v>
      </c>
      <c r="H16" s="59">
        <f>Historicals!H14</f>
        <v>3.64</v>
      </c>
      <c r="I16" s="59">
        <f>Historicals!I14</f>
        <v>3.83</v>
      </c>
      <c r="J16" s="59">
        <f>J14/J15</f>
        <v>3.8799378375211351</v>
      </c>
      <c r="K16" s="59">
        <f t="shared" ref="K16:N16" si="19">K14/K15</f>
        <v>4.2613330712894149</v>
      </c>
      <c r="L16" s="59">
        <f t="shared" si="19"/>
        <v>4.725400598853799</v>
      </c>
      <c r="M16" s="59">
        <f t="shared" si="19"/>
        <v>5.2791333712337112</v>
      </c>
      <c r="N16" s="59">
        <f t="shared" si="19"/>
        <v>5.9409099008212474</v>
      </c>
      <c r="O16" s="142" t="s">
        <v>309</v>
      </c>
      <c r="P16" s="117"/>
      <c r="Q16" s="65"/>
      <c r="R16" s="65"/>
      <c r="S16" s="65"/>
      <c r="T16" s="65"/>
      <c r="U16" s="65"/>
      <c r="V16" s="65"/>
      <c r="W16" s="65"/>
      <c r="X16" s="104"/>
    </row>
    <row r="17" spans="1:24" x14ac:dyDescent="0.3">
      <c r="A17" s="50" t="s">
        <v>155</v>
      </c>
      <c r="B17" s="59">
        <f>ABS(Historicals!B90/Historicals!B18)</f>
        <v>1.4326096788783356</v>
      </c>
      <c r="C17" s="59">
        <f>ABS(Historicals!C90/Historicals!C18)</f>
        <v>0.58651362984218081</v>
      </c>
      <c r="D17" s="59">
        <f>ABS(Historicals!D90/Historicals!D18)</f>
        <v>0.66962174940898345</v>
      </c>
      <c r="E17" s="59">
        <f>ABS(Historicals!E90/Historicals!E18)</f>
        <v>0.74920137423904531</v>
      </c>
      <c r="F17" s="59">
        <f>ABS(Historicals!F90/Historicals!F18)</f>
        <v>0.82303509639149774</v>
      </c>
      <c r="G17" s="59">
        <f>ABS(Historicals!G90/Historicals!G18)</f>
        <v>0.91228951997989449</v>
      </c>
      <c r="H17" s="59">
        <f>ABS(Historicals!H90/Historicals!H18)</f>
        <v>1.0177705977382876</v>
      </c>
      <c r="I17" s="59">
        <f>ABS(Historicals!I90/Historicals!I18)</f>
        <v>1.1404271169605165</v>
      </c>
      <c r="J17" s="59">
        <f>J14*J19/J15</f>
        <v>1.4161773106952142</v>
      </c>
      <c r="K17" s="59">
        <f t="shared" ref="K17:N17" si="20">K14*K19/K15</f>
        <v>1.5553865710206365</v>
      </c>
      <c r="L17" s="59">
        <f t="shared" si="20"/>
        <v>1.7247712185816366</v>
      </c>
      <c r="M17" s="59">
        <f t="shared" si="20"/>
        <v>1.9268836805003047</v>
      </c>
      <c r="N17" s="59">
        <f t="shared" si="20"/>
        <v>2.1684321137997551</v>
      </c>
      <c r="O17" s="142" t="s">
        <v>310</v>
      </c>
      <c r="P17" s="65"/>
      <c r="Q17" s="65"/>
      <c r="R17" s="65"/>
      <c r="S17" s="65"/>
      <c r="T17" s="65"/>
      <c r="U17" s="65"/>
      <c r="V17" s="65"/>
      <c r="W17" s="65"/>
      <c r="X17" s="104"/>
    </row>
    <row r="18" spans="1:24" x14ac:dyDescent="0.3">
      <c r="A18" s="56" t="s">
        <v>129</v>
      </c>
      <c r="B18" s="57">
        <f>IFERROR(B17/Historicals!L20-1,"nm")</f>
        <v>0.6241024369561905</v>
      </c>
      <c r="C18" s="57">
        <f>IFERROR(C17/B17-1,"nm")</f>
        <v>-0.59059774725144065</v>
      </c>
      <c r="D18" s="57">
        <f t="shared" ref="D18:I18" si="21">IFERROR(D17/C17-1,"nm")</f>
        <v>0.14169853067040461</v>
      </c>
      <c r="E18" s="57">
        <f t="shared" si="21"/>
        <v>0.11884265243818604</v>
      </c>
      <c r="F18" s="57">
        <f t="shared" si="21"/>
        <v>9.8549902190775418E-2</v>
      </c>
      <c r="G18" s="57">
        <f t="shared" si="21"/>
        <v>0.10844546481641237</v>
      </c>
      <c r="H18" s="57">
        <f t="shared" si="21"/>
        <v>0.11562237146023313</v>
      </c>
      <c r="I18" s="57">
        <f t="shared" si="21"/>
        <v>0.12051489745803123</v>
      </c>
      <c r="J18" s="58">
        <f>IFERROR(J17/I17-1,"nm")</f>
        <v>0.24179554276965232</v>
      </c>
      <c r="K18" s="58">
        <f t="shared" ref="K18:N18" si="22">IFERROR(K17/J17-1,"nm")</f>
        <v>9.8299315540568255E-2</v>
      </c>
      <c r="L18" s="58">
        <f t="shared" si="22"/>
        <v>0.1089019609124251</v>
      </c>
      <c r="M18" s="58">
        <f t="shared" si="22"/>
        <v>0.11718218610168774</v>
      </c>
      <c r="N18" s="58">
        <f t="shared" si="22"/>
        <v>0.12535703931891407</v>
      </c>
      <c r="O18" s="142" t="s">
        <v>312</v>
      </c>
      <c r="P18" s="137"/>
      <c r="Q18" s="127"/>
      <c r="R18" s="128"/>
      <c r="S18" s="128"/>
      <c r="T18" s="128"/>
      <c r="U18" s="128"/>
      <c r="V18" s="128"/>
      <c r="W18" s="128"/>
      <c r="X18" s="129"/>
    </row>
    <row r="19" spans="1:24" x14ac:dyDescent="0.3">
      <c r="A19" s="56" t="s">
        <v>156</v>
      </c>
      <c r="B19" s="57">
        <f>B17/B16</f>
        <v>0.75400509414649242</v>
      </c>
      <c r="C19" s="57">
        <f t="shared" ref="C19:I19" si="23">C17/C16</f>
        <v>0.26539078273401845</v>
      </c>
      <c r="D19" s="57">
        <f t="shared" si="23"/>
        <v>0.26157099586288413</v>
      </c>
      <c r="E19" s="57">
        <f t="shared" si="23"/>
        <v>0.62958098675550034</v>
      </c>
      <c r="F19" s="57">
        <f t="shared" si="23"/>
        <v>0.32275886132999915</v>
      </c>
      <c r="G19" s="57">
        <f t="shared" si="23"/>
        <v>0.55968682207355491</v>
      </c>
      <c r="H19" s="57">
        <f t="shared" si="23"/>
        <v>0.2796073070709581</v>
      </c>
      <c r="I19" s="57">
        <f t="shared" si="23"/>
        <v>0.29776164933694949</v>
      </c>
      <c r="J19" s="57">
        <v>0.36499999999999999</v>
      </c>
      <c r="K19" s="57">
        <v>0.36499999999999999</v>
      </c>
      <c r="L19" s="57">
        <v>0.36499999999999999</v>
      </c>
      <c r="M19" s="57">
        <v>0.36499999999999999</v>
      </c>
      <c r="N19" s="57">
        <v>0.36499999999999999</v>
      </c>
      <c r="O19" s="146" t="s">
        <v>280</v>
      </c>
      <c r="P19" s="138">
        <f>AVERAGE(U19:X19)</f>
        <v>0.36495365995286544</v>
      </c>
      <c r="Q19" s="97"/>
      <c r="R19" s="97"/>
      <c r="S19" s="97"/>
      <c r="T19" s="97"/>
      <c r="U19" s="130">
        <f t="shared" ref="U19:X19" si="24">F19</f>
        <v>0.32275886132999915</v>
      </c>
      <c r="V19" s="130">
        <f t="shared" si="24"/>
        <v>0.55968682207355491</v>
      </c>
      <c r="W19" s="130">
        <f t="shared" si="24"/>
        <v>0.2796073070709581</v>
      </c>
      <c r="X19" s="115">
        <f t="shared" si="24"/>
        <v>0.29776164933694949</v>
      </c>
    </row>
    <row r="20" spans="1:24" ht="15.6" x14ac:dyDescent="0.3">
      <c r="A20" s="60" t="s">
        <v>157</v>
      </c>
      <c r="B20" s="40"/>
      <c r="C20" s="40"/>
      <c r="D20" s="40"/>
      <c r="E20" s="40"/>
      <c r="F20" s="40"/>
      <c r="G20" s="40"/>
      <c r="H20" s="40"/>
      <c r="I20" s="40"/>
      <c r="J20" s="40"/>
      <c r="K20" s="40"/>
      <c r="L20" s="40"/>
      <c r="M20" s="40"/>
      <c r="N20" s="40"/>
      <c r="O20" s="147" t="s">
        <v>282</v>
      </c>
      <c r="P20" s="139" t="s">
        <v>279</v>
      </c>
      <c r="Q20" s="131">
        <v>2015</v>
      </c>
      <c r="R20" s="131">
        <v>2016</v>
      </c>
      <c r="S20" s="131">
        <v>2017</v>
      </c>
      <c r="T20" s="131">
        <v>2018</v>
      </c>
      <c r="U20" s="131">
        <v>2019</v>
      </c>
      <c r="V20" s="131">
        <v>2020</v>
      </c>
      <c r="W20" s="131">
        <v>2021</v>
      </c>
      <c r="X20" s="114">
        <v>2022</v>
      </c>
    </row>
    <row r="21" spans="1:24" x14ac:dyDescent="0.3">
      <c r="A21" s="50"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124">
        <f>J68</f>
        <v>9126.3397762630011</v>
      </c>
      <c r="K21" s="124">
        <f t="shared" ref="K21:N21" si="25">K68</f>
        <v>9177.2660699074477</v>
      </c>
      <c r="L21" s="124">
        <f t="shared" si="25"/>
        <v>8695.9704260902636</v>
      </c>
      <c r="M21" s="124">
        <f t="shared" si="25"/>
        <v>8096.965980892116</v>
      </c>
      <c r="N21" s="124">
        <f t="shared" si="25"/>
        <v>7258.1649008917793</v>
      </c>
      <c r="O21" s="142"/>
      <c r="P21" s="140">
        <f>AVERAGE(R21:X21)</f>
        <v>4.9521753978530855E-2</v>
      </c>
      <c r="Q21" s="97"/>
      <c r="R21" s="132">
        <f>IFERROR(C21/B21-1,"nm")</f>
        <v>-0.18535825545171336</v>
      </c>
      <c r="S21" s="132">
        <f t="shared" ref="S21:X21" si="26">IFERROR(D21/C21-1,"nm")</f>
        <v>0.21351179094964956</v>
      </c>
      <c r="T21" s="132">
        <f t="shared" si="26"/>
        <v>0.11580882352941169</v>
      </c>
      <c r="U21" s="132">
        <f t="shared" si="26"/>
        <v>5.107084019769359E-2</v>
      </c>
      <c r="V21" s="133">
        <v>0.1</v>
      </c>
      <c r="W21" s="132">
        <f t="shared" si="26"/>
        <v>0.18459511260182082</v>
      </c>
      <c r="X21" s="134">
        <f t="shared" si="26"/>
        <v>-0.1329760339771463</v>
      </c>
    </row>
    <row r="22" spans="1:24" x14ac:dyDescent="0.3">
      <c r="A22" s="50"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I22*(1+J4)</f>
        <v>4704.3796888032539</v>
      </c>
      <c r="K22" s="3">
        <f t="shared" ref="K22:N22" si="27">J22*(1+K4)</f>
        <v>5035.0104363306782</v>
      </c>
      <c r="L22" s="3">
        <f t="shared" si="27"/>
        <v>5437.172397735394</v>
      </c>
      <c r="M22" s="3">
        <f t="shared" si="27"/>
        <v>5911.0241846128738</v>
      </c>
      <c r="N22" s="3">
        <f t="shared" si="27"/>
        <v>6468.2554195025732</v>
      </c>
      <c r="O22" s="148" t="s">
        <v>313</v>
      </c>
      <c r="P22" s="130">
        <f>AVERAGE(R22:X22)</f>
        <v>8.4600267296862652E-2</v>
      </c>
      <c r="Q22" s="97"/>
      <c r="R22" s="132">
        <f>IFERROR(C23/B23-1,"nm")</f>
        <v>5.8231488138030141E-2</v>
      </c>
      <c r="S22" s="132">
        <f t="shared" ref="S22:X22" si="28">IFERROR(D23/C23-1,"nm")</f>
        <v>0.13519021739130443</v>
      </c>
      <c r="T22" s="132">
        <f t="shared" si="28"/>
        <v>-3.0520646319569078E-2</v>
      </c>
      <c r="U22" s="132">
        <f t="shared" si="28"/>
        <v>0.12376543209876534</v>
      </c>
      <c r="V22" s="132">
        <f t="shared" si="28"/>
        <v>8.0472397692941566E-2</v>
      </c>
      <c r="W22" s="132">
        <f t="shared" si="28"/>
        <v>7.7910523640061013E-2</v>
      </c>
      <c r="X22" s="134">
        <f t="shared" si="28"/>
        <v>0.14715245843650515</v>
      </c>
    </row>
    <row r="23" spans="1:24" x14ac:dyDescent="0.3">
      <c r="A23" s="50" t="s">
        <v>160</v>
      </c>
      <c r="B23" s="120">
        <f>Historicals!B27+Historicals!B28-Historicals!B41</f>
        <v>5564</v>
      </c>
      <c r="C23" s="120">
        <f>Historicals!C27+Historicals!C28-Historicals!C41</f>
        <v>5888</v>
      </c>
      <c r="D23" s="120">
        <f>Historicals!D27+Historicals!D28-Historicals!D41</f>
        <v>6684</v>
      </c>
      <c r="E23" s="120">
        <f>Historicals!E27+Historicals!E28-Historicals!E41</f>
        <v>6480</v>
      </c>
      <c r="F23" s="120">
        <f>Historicals!F27+Historicals!F28-Historicals!F41</f>
        <v>7282</v>
      </c>
      <c r="G23" s="120">
        <f>Historicals!G27+Historicals!G28-Historicals!G41</f>
        <v>7868</v>
      </c>
      <c r="H23" s="120">
        <f>Historicals!H27+Historicals!H28-Historicals!H41</f>
        <v>8481</v>
      </c>
      <c r="I23" s="120">
        <f>Historicals!I27+Historicals!I28-Historicals!I41</f>
        <v>9729</v>
      </c>
      <c r="J23" s="120">
        <f>J3*J24</f>
        <v>9489.1794879999998</v>
      </c>
      <c r="K23" s="120">
        <f t="shared" ref="K23:N23" si="29">K3*K24</f>
        <v>10156.093027102001</v>
      </c>
      <c r="L23" s="120">
        <f t="shared" si="29"/>
        <v>10967.291800895338</v>
      </c>
      <c r="M23" s="120">
        <f t="shared" si="29"/>
        <v>11923.095743993685</v>
      </c>
      <c r="N23" s="120">
        <f t="shared" si="29"/>
        <v>13047.083932441412</v>
      </c>
      <c r="O23" s="142"/>
      <c r="P23" s="140">
        <f>AVERAGE(Q23:X23)</f>
        <v>0.19144159881536918</v>
      </c>
      <c r="Q23" s="130">
        <f>B24</f>
        <v>0.18182412339466031</v>
      </c>
      <c r="R23" s="130">
        <f t="shared" ref="R23:X23" si="30">C24</f>
        <v>0.1818631084754139</v>
      </c>
      <c r="S23" s="130">
        <f t="shared" si="30"/>
        <v>0.19458515283842795</v>
      </c>
      <c r="T23" s="130">
        <f t="shared" si="30"/>
        <v>0.17803665137236585</v>
      </c>
      <c r="U23" s="130">
        <f t="shared" si="30"/>
        <v>0.18615947030702765</v>
      </c>
      <c r="V23" s="130">
        <f t="shared" si="30"/>
        <v>0.21035745795791783</v>
      </c>
      <c r="W23" s="130">
        <f t="shared" si="30"/>
        <v>0.19042166240064665</v>
      </c>
      <c r="X23" s="115">
        <f t="shared" si="30"/>
        <v>0.20828516377649325</v>
      </c>
    </row>
    <row r="24" spans="1:24" x14ac:dyDescent="0.3">
      <c r="A24" s="56" t="s">
        <v>161</v>
      </c>
      <c r="B24" s="57">
        <f>B23/B3</f>
        <v>0.18182412339466031</v>
      </c>
      <c r="C24" s="57">
        <f t="shared" ref="C24:I24" si="31">C23/C3</f>
        <v>0.1818631084754139</v>
      </c>
      <c r="D24" s="57">
        <f t="shared" si="31"/>
        <v>0.19458515283842795</v>
      </c>
      <c r="E24" s="57">
        <f t="shared" si="31"/>
        <v>0.17803665137236585</v>
      </c>
      <c r="F24" s="57">
        <f t="shared" si="31"/>
        <v>0.18615947030702765</v>
      </c>
      <c r="G24" s="57">
        <f t="shared" si="31"/>
        <v>0.21035745795791783</v>
      </c>
      <c r="H24" s="57">
        <f t="shared" si="31"/>
        <v>0.19042166240064665</v>
      </c>
      <c r="I24" s="57">
        <f t="shared" si="31"/>
        <v>0.20828516377649325</v>
      </c>
      <c r="J24" s="58">
        <v>0.191</v>
      </c>
      <c r="K24" s="58">
        <v>0.191</v>
      </c>
      <c r="L24" s="58">
        <v>0.191</v>
      </c>
      <c r="M24" s="58">
        <v>0.191</v>
      </c>
      <c r="N24" s="58">
        <v>0.191</v>
      </c>
      <c r="O24" s="142" t="s">
        <v>276</v>
      </c>
      <c r="P24" s="97"/>
      <c r="Q24" s="97"/>
      <c r="R24" s="97"/>
      <c r="S24" s="97"/>
      <c r="T24" s="97"/>
      <c r="U24" s="97"/>
      <c r="V24" s="97"/>
      <c r="W24" s="97"/>
      <c r="X24" s="104"/>
    </row>
    <row r="25" spans="1:24" x14ac:dyDescent="0.3">
      <c r="A25" s="50"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I25*(1+J4)</f>
        <v>2264.4414102333544</v>
      </c>
      <c r="K25" s="3">
        <f t="shared" ref="K25:N25" si="32">J25*(1+K4)</f>
        <v>2423.5896945394561</v>
      </c>
      <c r="L25" s="3">
        <f t="shared" si="32"/>
        <v>2617.1693499386511</v>
      </c>
      <c r="M25" s="3">
        <f t="shared" si="32"/>
        <v>2845.2567237261605</v>
      </c>
      <c r="N25" s="3">
        <f t="shared" si="32"/>
        <v>3113.4785865071167</v>
      </c>
      <c r="O25" s="142" t="s">
        <v>277</v>
      </c>
      <c r="P25" s="140">
        <f>AVERAGE(R25:X25)</f>
        <v>6.0076593420109306E-2</v>
      </c>
      <c r="Q25" s="97"/>
      <c r="R25" s="132">
        <f>IFERROR(C25/B25-1,"nm")</f>
        <v>-0.24339430894308944</v>
      </c>
      <c r="S25" s="132">
        <f t="shared" ref="S25:X26" si="33">IFERROR(D25/C25-1,"nm")</f>
        <v>-0.22766957689724643</v>
      </c>
      <c r="T25" s="132">
        <f t="shared" si="33"/>
        <v>-1.7391304347826098E-2</v>
      </c>
      <c r="U25" s="132">
        <f t="shared" si="33"/>
        <v>0.74159292035398239</v>
      </c>
      <c r="V25" s="132">
        <f t="shared" si="33"/>
        <v>-0.16006097560975607</v>
      </c>
      <c r="W25" s="132">
        <f t="shared" si="33"/>
        <v>-9.3768905021173632E-2</v>
      </c>
      <c r="X25" s="134">
        <f t="shared" si="33"/>
        <v>0.42122830440587444</v>
      </c>
    </row>
    <row r="26" spans="1:24" x14ac:dyDescent="0.3">
      <c r="A26" s="50"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I26*(1+P26)</f>
        <v>5370.6703330288292</v>
      </c>
      <c r="K26" s="3">
        <f t="shared" ref="K26:N26" si="34">J26*(1+Q26)</f>
        <v>5370.6703330288292</v>
      </c>
      <c r="L26" s="3">
        <f t="shared" si="34"/>
        <v>6278.5651186521027</v>
      </c>
      <c r="M26" s="3">
        <f t="shared" si="34"/>
        <v>7115.1125733816016</v>
      </c>
      <c r="N26" s="3">
        <f t="shared" si="34"/>
        <v>7944.5252950217237</v>
      </c>
      <c r="O26" s="146"/>
      <c r="P26" s="140">
        <f>AVERAGE(R26:U26)</f>
        <v>0.12099151179896234</v>
      </c>
      <c r="Q26" s="97"/>
      <c r="R26" s="132">
        <f>IFERROR(C26/B26-1,"nm")</f>
        <v>0.16904682829624718</v>
      </c>
      <c r="S26" s="132">
        <f t="shared" si="33"/>
        <v>0.13323863636363642</v>
      </c>
      <c r="T26" s="132">
        <f t="shared" si="33"/>
        <v>0.11657056906492858</v>
      </c>
      <c r="U26" s="132">
        <f t="shared" si="33"/>
        <v>6.5110013471037176E-2</v>
      </c>
      <c r="V26" s="132">
        <f t="shared" si="33"/>
        <v>2.5716694772343951E-2</v>
      </c>
      <c r="W26" s="132">
        <f t="shared" si="33"/>
        <v>7.8092889436909285E-3</v>
      </c>
      <c r="X26" s="134">
        <f t="shared" si="33"/>
        <v>-2.3042414355628038E-2</v>
      </c>
    </row>
    <row r="27" spans="1:24" x14ac:dyDescent="0.3">
      <c r="A27" s="50"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I27*(1+J4)</f>
        <v>304.19457178334403</v>
      </c>
      <c r="K27" s="3">
        <f t="shared" ref="K27:N27" si="35">J27*(1+K4)</f>
        <v>325.57381523639475</v>
      </c>
      <c r="L27" s="3">
        <f t="shared" si="35"/>
        <v>351.57840962069247</v>
      </c>
      <c r="M27" s="3">
        <f t="shared" si="35"/>
        <v>382.21861107829119</v>
      </c>
      <c r="N27" s="3">
        <f t="shared" si="35"/>
        <v>418.25029391312137</v>
      </c>
      <c r="O27" s="146" t="s">
        <v>293</v>
      </c>
      <c r="P27" s="97"/>
      <c r="Q27" s="97"/>
      <c r="R27" s="97"/>
      <c r="S27" s="97"/>
      <c r="T27" s="97"/>
      <c r="U27" s="97"/>
      <c r="V27" s="97"/>
      <c r="W27" s="97"/>
      <c r="X27" s="104"/>
    </row>
    <row r="28" spans="1:24" x14ac:dyDescent="0.3">
      <c r="A28" s="50"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I28*(1+J4)</f>
        <v>302.06733701562831</v>
      </c>
      <c r="K28" s="3">
        <f t="shared" ref="K28:N28" si="36">J28*(1+K4)</f>
        <v>323.29707526970668</v>
      </c>
      <c r="L28" s="3">
        <f t="shared" si="36"/>
        <v>349.11981934362467</v>
      </c>
      <c r="M28" s="3">
        <f t="shared" si="36"/>
        <v>379.54575365816328</v>
      </c>
      <c r="N28" s="3">
        <f t="shared" si="36"/>
        <v>415.3254666829597</v>
      </c>
      <c r="O28" s="146" t="s">
        <v>294</v>
      </c>
      <c r="P28" s="97"/>
      <c r="Q28" s="97"/>
      <c r="R28" s="97"/>
      <c r="S28" s="97"/>
      <c r="T28" s="97"/>
      <c r="U28" s="97"/>
      <c r="V28" s="97"/>
      <c r="W28" s="97"/>
      <c r="X28" s="104"/>
    </row>
    <row r="29" spans="1:24" x14ac:dyDescent="0.3">
      <c r="A29" s="6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I29*(1+J4)</f>
        <v>3112.1444651680581</v>
      </c>
      <c r="K29" s="3">
        <f t="shared" ref="K29:N29" si="37">J29*(1+K4)</f>
        <v>3330.8705712646542</v>
      </c>
      <c r="L29" s="3">
        <f t="shared" si="37"/>
        <v>3596.9175753501613</v>
      </c>
      <c r="M29" s="3">
        <f t="shared" si="37"/>
        <v>3910.3904056471329</v>
      </c>
      <c r="N29" s="3">
        <f t="shared" si="37"/>
        <v>4279.0222377265491</v>
      </c>
      <c r="O29" s="142" t="s">
        <v>291</v>
      </c>
      <c r="P29" s="97"/>
      <c r="Q29" s="97"/>
      <c r="R29" s="97"/>
      <c r="S29" s="97"/>
      <c r="T29" s="97"/>
      <c r="U29" s="97"/>
      <c r="V29" s="97"/>
      <c r="W29" s="97"/>
      <c r="X29" s="104"/>
    </row>
    <row r="30" spans="1:24" x14ac:dyDescent="0.3">
      <c r="A30" s="5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I30*(1+$P$30)</f>
        <v>4738.7482902464953</v>
      </c>
      <c r="K30" s="3">
        <f>J30*(1+$P$30)</f>
        <v>5876.9262911054911</v>
      </c>
      <c r="L30" s="3">
        <f t="shared" ref="L30:N30" si="38">K30*(1+$P$30)</f>
        <v>7288.4779936877321</v>
      </c>
      <c r="M30" s="3">
        <f t="shared" si="38"/>
        <v>9039.0637610800695</v>
      </c>
      <c r="N30" s="3">
        <f t="shared" si="38"/>
        <v>11210.114614825237</v>
      </c>
      <c r="O30" s="146" t="s">
        <v>295</v>
      </c>
      <c r="P30" s="140">
        <f>AVERAGE(V30:X30)</f>
        <v>0.2401853677693</v>
      </c>
      <c r="Q30" s="97"/>
      <c r="R30" s="132">
        <f>IFERROR(C30/B30-1,"nm")</f>
        <v>-5.7209122535755719E-2</v>
      </c>
      <c r="S30" s="132">
        <f t="shared" ref="S30:X30" si="39">IFERROR(D30/C30-1,"nm")</f>
        <v>0.14268142681426821</v>
      </c>
      <c r="T30" s="132">
        <f t="shared" si="39"/>
        <v>-9.9748833871546427E-2</v>
      </c>
      <c r="U30" s="132">
        <f t="shared" si="39"/>
        <v>-0.19848545237146276</v>
      </c>
      <c r="V30" s="132">
        <f t="shared" si="39"/>
        <v>0.15663848831427152</v>
      </c>
      <c r="W30" s="132">
        <f t="shared" si="39"/>
        <v>0.25580395528804822</v>
      </c>
      <c r="X30" s="134">
        <f t="shared" si="39"/>
        <v>0.30811365970558025</v>
      </c>
    </row>
    <row r="31" spans="1:24" ht="15" thickBot="1" x14ac:dyDescent="0.35">
      <c r="A31" s="6" t="s">
        <v>166</v>
      </c>
      <c r="B31" s="7">
        <f>B21+B22+B23+B25+B26+B27+B28+B29+B30</f>
        <v>19466</v>
      </c>
      <c r="C31" s="7">
        <f t="shared" ref="C31:I31" si="40">C21+C22+C23+C25+C26+C27+C28+C29+C30</f>
        <v>19205</v>
      </c>
      <c r="D31" s="7">
        <f t="shared" si="40"/>
        <v>21211</v>
      </c>
      <c r="E31" s="7">
        <f t="shared" si="40"/>
        <v>20257</v>
      </c>
      <c r="F31" s="7">
        <f t="shared" si="40"/>
        <v>21105</v>
      </c>
      <c r="G31" s="7">
        <f t="shared" si="40"/>
        <v>29094</v>
      </c>
      <c r="H31" s="7">
        <f t="shared" si="40"/>
        <v>34904</v>
      </c>
      <c r="I31" s="7">
        <f t="shared" si="40"/>
        <v>36963</v>
      </c>
      <c r="J31" s="7">
        <f t="shared" ref="J31" si="41">J21+J22+J23+J25+J26+J27+J28+J29+J30</f>
        <v>39412.165360541971</v>
      </c>
      <c r="K31" s="7">
        <f t="shared" ref="K31" si="42">K21+K22+K23+K25+K26+K27+K28+K29+K30</f>
        <v>42019.297313784657</v>
      </c>
      <c r="L31" s="7">
        <f t="shared" ref="L31" si="43">L21+L22+L23+L25+L26+L27+L28+L29+L30</f>
        <v>45582.262891313956</v>
      </c>
      <c r="M31" s="7">
        <f t="shared" ref="M31" si="44">M21+M22+M23+M25+M26+M27+M28+M29+M30</f>
        <v>49602.673738070087</v>
      </c>
      <c r="N31" s="7">
        <f t="shared" ref="N31" si="45">N21+N22+N23+N25+N26+N27+N28+N29+N30</f>
        <v>54154.220747512481</v>
      </c>
      <c r="O31" s="142"/>
      <c r="P31" s="97"/>
      <c r="Q31" s="97"/>
      <c r="R31" s="97"/>
      <c r="S31" s="97"/>
      <c r="T31" s="97"/>
      <c r="U31" s="97"/>
      <c r="V31" s="97"/>
      <c r="W31" s="97"/>
      <c r="X31" s="104"/>
    </row>
    <row r="32" spans="1:24" ht="15" thickTop="1" x14ac:dyDescent="0.3">
      <c r="A32" s="50" t="s">
        <v>167</v>
      </c>
      <c r="B32" s="9">
        <f>B33+B34</f>
        <v>181</v>
      </c>
      <c r="C32" s="9">
        <f t="shared" ref="C32:I32" si="46">C33+C34</f>
        <v>45</v>
      </c>
      <c r="D32" s="9">
        <f t="shared" si="46"/>
        <v>331</v>
      </c>
      <c r="E32" s="9">
        <f t="shared" si="46"/>
        <v>342</v>
      </c>
      <c r="F32" s="9">
        <f t="shared" si="46"/>
        <v>15</v>
      </c>
      <c r="G32" s="9">
        <f t="shared" si="46"/>
        <v>251</v>
      </c>
      <c r="H32" s="9">
        <f t="shared" si="46"/>
        <v>2</v>
      </c>
      <c r="I32" s="9">
        <f t="shared" si="46"/>
        <v>510</v>
      </c>
      <c r="J32" s="9">
        <f t="shared" ref="J32" si="47">J33+J34</f>
        <v>541.80869192892305</v>
      </c>
      <c r="K32" s="9">
        <f t="shared" ref="K32" si="48">K33+K34</f>
        <v>579.18499167201878</v>
      </c>
      <c r="L32" s="9">
        <f t="shared" ref="L32" si="49">L33+L34</f>
        <v>624.64756926694486</v>
      </c>
      <c r="M32" s="9">
        <f t="shared" ref="M32" si="50">M33+M34</f>
        <v>678.21435503197756</v>
      </c>
      <c r="N32" s="9">
        <f t="shared" ref="N32" si="51">N33+N34</f>
        <v>741.20680754042201</v>
      </c>
      <c r="O32" s="142"/>
      <c r="P32" s="97"/>
      <c r="Q32" s="97"/>
      <c r="R32" s="97"/>
      <c r="S32" s="97"/>
      <c r="T32" s="97"/>
      <c r="U32" s="97"/>
      <c r="V32" s="97"/>
      <c r="W32" s="97"/>
      <c r="X32" s="104"/>
    </row>
    <row r="33" spans="1:24" x14ac:dyDescent="0.3">
      <c r="A33" s="5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I33*(1+J4)</f>
        <v>531.80869192892305</v>
      </c>
      <c r="K33" s="3">
        <f t="shared" ref="K33:N33" si="52">J33*(1+K4)</f>
        <v>569.18499167201878</v>
      </c>
      <c r="L33" s="3">
        <f t="shared" si="52"/>
        <v>614.64756926694486</v>
      </c>
      <c r="M33" s="3">
        <f t="shared" si="52"/>
        <v>668.21435503197756</v>
      </c>
      <c r="N33" s="3">
        <f t="shared" si="52"/>
        <v>731.20680754042201</v>
      </c>
      <c r="O33" s="146" t="s">
        <v>292</v>
      </c>
      <c r="P33" s="97"/>
      <c r="Q33" s="97"/>
      <c r="R33" s="97"/>
      <c r="S33" s="97"/>
      <c r="T33" s="97"/>
      <c r="U33" s="97"/>
      <c r="V33" s="97"/>
      <c r="W33" s="97"/>
      <c r="X33" s="104"/>
    </row>
    <row r="34" spans="1:24" x14ac:dyDescent="0.3">
      <c r="A34" s="5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53">J34</f>
        <v>10</v>
      </c>
      <c r="L34" s="3">
        <f t="shared" si="53"/>
        <v>10</v>
      </c>
      <c r="M34" s="3">
        <f t="shared" si="53"/>
        <v>10</v>
      </c>
      <c r="N34" s="3">
        <f t="shared" si="53"/>
        <v>10</v>
      </c>
      <c r="O34" s="146" t="s">
        <v>306</v>
      </c>
      <c r="P34" s="97"/>
      <c r="Q34" s="97"/>
      <c r="R34" s="97"/>
      <c r="S34" s="97"/>
      <c r="T34" s="97"/>
      <c r="U34" s="97"/>
      <c r="V34" s="97"/>
      <c r="W34" s="97"/>
      <c r="X34" s="104"/>
    </row>
    <row r="35" spans="1:24" x14ac:dyDescent="0.3">
      <c r="A35" s="50" t="s">
        <v>168</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I35*(1+J4)</f>
        <v>7298.5424880325409</v>
      </c>
      <c r="K35" s="3">
        <f t="shared" ref="K35:N35" si="54">J35*(1+K4)</f>
        <v>7811.4948257067863</v>
      </c>
      <c r="L35" s="3">
        <f t="shared" si="54"/>
        <v>8435.4232406195515</v>
      </c>
      <c r="M35" s="3">
        <f t="shared" si="54"/>
        <v>9170.5738084588611</v>
      </c>
      <c r="N35" s="3">
        <f t="shared" si="54"/>
        <v>10035.082226684752</v>
      </c>
      <c r="O35" s="149" t="s">
        <v>299</v>
      </c>
      <c r="P35" s="140">
        <f>AVERAGE(R35:X35)</f>
        <v>9.9238783821636409E-2</v>
      </c>
      <c r="Q35" s="97"/>
      <c r="R35" s="132">
        <f>IFERROR(C35/B35-1,"nm")</f>
        <v>-0.22338308457711442</v>
      </c>
      <c r="S35" s="132">
        <f t="shared" ref="S35:X35" si="55">IFERROR(D35/C35-1,"nm")</f>
        <v>-8.6483023702754735E-3</v>
      </c>
      <c r="T35" s="132">
        <f t="shared" si="55"/>
        <v>0.10468497576736668</v>
      </c>
      <c r="U35" s="132">
        <f t="shared" si="55"/>
        <v>0.5323193916349811</v>
      </c>
      <c r="V35" s="132">
        <f t="shared" si="55"/>
        <v>0.10421836228287851</v>
      </c>
      <c r="W35" s="132">
        <f t="shared" si="55"/>
        <v>0.1816767502160761</v>
      </c>
      <c r="X35" s="134">
        <f t="shared" si="55"/>
        <v>3.8033937975423537E-3</v>
      </c>
    </row>
    <row r="36" spans="1:24" x14ac:dyDescent="0.3">
      <c r="A36" s="50"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124">
        <f>I36+500</f>
        <v>9420</v>
      </c>
      <c r="K36" s="124">
        <f t="shared" ref="K36" si="56">J36+500</f>
        <v>9920</v>
      </c>
      <c r="L36" s="124">
        <f>K36+1000</f>
        <v>10920</v>
      </c>
      <c r="M36" s="124">
        <f>L36+1000</f>
        <v>11920</v>
      </c>
      <c r="N36" s="124">
        <f>M36+1000</f>
        <v>12920</v>
      </c>
      <c r="O36" s="149" t="s">
        <v>301</v>
      </c>
      <c r="P36" s="97"/>
      <c r="Q36" s="97"/>
      <c r="R36" s="97"/>
      <c r="S36" s="97"/>
      <c r="T36" s="97"/>
      <c r="U36" s="97"/>
      <c r="V36" s="97"/>
      <c r="W36" s="97"/>
      <c r="X36" s="104"/>
    </row>
    <row r="37" spans="1:24" x14ac:dyDescent="0.3">
      <c r="A37" s="61"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I37*(1+J4)</f>
        <v>2953.6654749732388</v>
      </c>
      <c r="K37" s="3">
        <f t="shared" ref="K37:N37" si="57">J37*(1+K4)</f>
        <v>3161.2534437463923</v>
      </c>
      <c r="L37" s="3">
        <f t="shared" si="57"/>
        <v>3413.7525997086113</v>
      </c>
      <c r="M37" s="3">
        <f t="shared" si="57"/>
        <v>3711.262527847603</v>
      </c>
      <c r="N37" s="3">
        <f t="shared" si="57"/>
        <v>4061.122609079503</v>
      </c>
      <c r="O37" s="149" t="s">
        <v>300</v>
      </c>
      <c r="P37" s="97"/>
      <c r="Q37" s="97"/>
      <c r="R37" s="97"/>
      <c r="S37" s="97"/>
      <c r="T37" s="97"/>
      <c r="U37" s="97"/>
      <c r="V37" s="97"/>
      <c r="W37" s="97"/>
      <c r="X37" s="104"/>
    </row>
    <row r="38" spans="1:24" x14ac:dyDescent="0.3">
      <c r="A38" s="50" t="s">
        <v>169</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I38*(1+J4)</f>
        <v>2779.2322240205522</v>
      </c>
      <c r="K38" s="3">
        <f t="shared" ref="K38:N38" si="58">J38*(1+K4)</f>
        <v>2974.5607664779704</v>
      </c>
      <c r="L38" s="3">
        <f t="shared" si="58"/>
        <v>3212.1481969890538</v>
      </c>
      <c r="M38" s="3">
        <f t="shared" si="58"/>
        <v>3492.0882193971147</v>
      </c>
      <c r="N38" s="3">
        <f t="shared" si="58"/>
        <v>3821.2867762062451</v>
      </c>
      <c r="O38" s="149"/>
      <c r="P38" s="97"/>
      <c r="Q38" s="97"/>
      <c r="R38" s="97"/>
      <c r="S38" s="97"/>
      <c r="T38" s="97"/>
      <c r="U38" s="97"/>
      <c r="V38" s="97"/>
      <c r="W38" s="97"/>
      <c r="X38" s="104"/>
    </row>
    <row r="39" spans="1:24" x14ac:dyDescent="0.3">
      <c r="A39" s="50" t="s">
        <v>170</v>
      </c>
      <c r="B39" s="9">
        <f>B40+B41+B42</f>
        <v>12707</v>
      </c>
      <c r="C39" s="9">
        <f t="shared" ref="C39:I39" si="59">C40+C41+C42</f>
        <v>12258</v>
      </c>
      <c r="D39" s="9">
        <f t="shared" si="59"/>
        <v>12407</v>
      </c>
      <c r="E39" s="9">
        <f t="shared" si="59"/>
        <v>9812</v>
      </c>
      <c r="F39" s="9">
        <f t="shared" si="59"/>
        <v>9040</v>
      </c>
      <c r="G39" s="9">
        <f t="shared" si="59"/>
        <v>8055</v>
      </c>
      <c r="H39" s="9">
        <f t="shared" si="59"/>
        <v>12767</v>
      </c>
      <c r="I39" s="9">
        <f t="shared" si="59"/>
        <v>15281</v>
      </c>
      <c r="J39" s="9">
        <f t="shared" ref="J39" si="60">J40+J41+J42</f>
        <v>16419.179722504919</v>
      </c>
      <c r="K39" s="9">
        <f t="shared" ref="K39" si="61">K40+K41+K42</f>
        <v>17573.143905787056</v>
      </c>
      <c r="L39" s="9">
        <f t="shared" ref="L39" si="62">L40+L41+L42</f>
        <v>18976.765628237543</v>
      </c>
      <c r="M39" s="9">
        <f t="shared" ref="M39" si="63">M40+M41+M42</f>
        <v>20630.59847448696</v>
      </c>
      <c r="N39" s="9">
        <f t="shared" ref="N39" si="64">N40+N41+N42</f>
        <v>22575.441450155624</v>
      </c>
      <c r="O39" s="149" t="s">
        <v>297</v>
      </c>
      <c r="P39" s="97"/>
      <c r="Q39" s="97"/>
      <c r="R39" s="97"/>
      <c r="S39" s="97"/>
      <c r="T39" s="97"/>
      <c r="U39" s="97"/>
      <c r="V39" s="97"/>
      <c r="W39" s="97"/>
      <c r="X39" s="104"/>
    </row>
    <row r="40" spans="1:24" x14ac:dyDescent="0.3">
      <c r="A40" s="52" t="s">
        <v>171</v>
      </c>
      <c r="B40" s="3">
        <f>Historicals!B54+Historicals!B55</f>
        <v>6776</v>
      </c>
      <c r="C40" s="3">
        <f>Historicals!C54+Historicals!C55</f>
        <v>7789</v>
      </c>
      <c r="D40" s="3">
        <f>Historicals!D54+Historicals!D55</f>
        <v>5713</v>
      </c>
      <c r="E40" s="3">
        <f>Historicals!E54+Historicals!E55</f>
        <v>6387</v>
      </c>
      <c r="F40" s="3">
        <f>Historicals!F54+Historicals!F55</f>
        <v>7166</v>
      </c>
      <c r="G40" s="3">
        <f>Historicals!G54+Historicals!G55</f>
        <v>8302</v>
      </c>
      <c r="H40" s="3">
        <f>Historicals!H54+Historicals!H55</f>
        <v>9968</v>
      </c>
      <c r="I40" s="3">
        <f>Historicals!I54+Historicals!I55</f>
        <v>11487</v>
      </c>
      <c r="J40" s="3">
        <f>I40*(1+J4)</f>
        <v>12217.772888375079</v>
      </c>
      <c r="K40" s="3">
        <f t="shared" ref="K40:N40" si="65">J40*(1+K4)</f>
        <v>13076.45599867296</v>
      </c>
      <c r="L40" s="3">
        <f t="shared" si="65"/>
        <v>14120.91325633879</v>
      </c>
      <c r="M40" s="3">
        <f t="shared" si="65"/>
        <v>15351.556592504652</v>
      </c>
      <c r="N40" s="3">
        <f t="shared" si="65"/>
        <v>16798.745196433654</v>
      </c>
      <c r="O40" s="149" t="s">
        <v>298</v>
      </c>
      <c r="P40" s="97"/>
      <c r="Q40" s="97"/>
      <c r="R40" s="97"/>
      <c r="S40" s="97"/>
      <c r="T40" s="97"/>
      <c r="U40" s="97"/>
      <c r="V40" s="97"/>
      <c r="W40" s="97"/>
      <c r="X40" s="104"/>
    </row>
    <row r="41" spans="1:24" x14ac:dyDescent="0.3">
      <c r="A41" s="52" t="s">
        <v>172</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126">
        <f>J14+J61</f>
        <v>3863.1765060630441</v>
      </c>
      <c r="K41" s="126">
        <f t="shared" ref="K41:N41" si="66">K14+K61</f>
        <v>4134.6862524106937</v>
      </c>
      <c r="L41" s="126">
        <f t="shared" si="66"/>
        <v>4464.936517844978</v>
      </c>
      <c r="M41" s="126">
        <f t="shared" si="66"/>
        <v>4854.0575521819728</v>
      </c>
      <c r="N41" s="126">
        <f t="shared" si="66"/>
        <v>5311.6487241262603</v>
      </c>
      <c r="O41" s="149"/>
      <c r="P41" s="97"/>
      <c r="Q41" s="97"/>
      <c r="R41" s="97"/>
      <c r="S41" s="97"/>
      <c r="T41" s="97"/>
      <c r="U41" s="97"/>
      <c r="V41" s="97"/>
      <c r="W41" s="97"/>
      <c r="X41" s="104"/>
    </row>
    <row r="42" spans="1:24" x14ac:dyDescent="0.3">
      <c r="A42" s="52" t="s">
        <v>173</v>
      </c>
      <c r="B42" s="3">
        <f>Historicals!B56</f>
        <v>1246</v>
      </c>
      <c r="C42" s="3">
        <f>Historicals!C56</f>
        <v>318</v>
      </c>
      <c r="D42" s="3">
        <f>Historicals!D56</f>
        <v>-213</v>
      </c>
      <c r="E42" s="3">
        <f>Historicals!E56</f>
        <v>-92</v>
      </c>
      <c r="F42" s="3">
        <f>Historicals!F56</f>
        <v>231</v>
      </c>
      <c r="G42" s="3">
        <f>Historicals!G56</f>
        <v>-56</v>
      </c>
      <c r="H42" s="3">
        <f>Historicals!H56</f>
        <v>-380</v>
      </c>
      <c r="I42" s="3">
        <f>Historicals!I56</f>
        <v>318</v>
      </c>
      <c r="J42" s="3">
        <f>I42*(1+J4)</f>
        <v>338.2303280667951</v>
      </c>
      <c r="K42" s="3">
        <f t="shared" ref="K42:N42" si="67">J42*(1+K4)</f>
        <v>362.00165470340397</v>
      </c>
      <c r="L42" s="3">
        <f t="shared" si="67"/>
        <v>390.91585405377691</v>
      </c>
      <c r="M42" s="3">
        <f t="shared" si="67"/>
        <v>424.98432980033772</v>
      </c>
      <c r="N42" s="3">
        <f t="shared" si="67"/>
        <v>465.04752959570834</v>
      </c>
      <c r="O42" s="150" t="s">
        <v>302</v>
      </c>
      <c r="P42" s="97"/>
      <c r="Q42" s="97"/>
      <c r="R42" s="97"/>
      <c r="S42" s="97"/>
      <c r="T42" s="97"/>
      <c r="U42" s="97"/>
      <c r="V42" s="97"/>
      <c r="W42" s="97"/>
      <c r="X42" s="104"/>
    </row>
    <row r="43" spans="1:24" ht="15" thickBot="1" x14ac:dyDescent="0.35">
      <c r="A43" s="6" t="s">
        <v>174</v>
      </c>
      <c r="B43" s="7">
        <f>B32+B35+B36+B37+B38+B39</f>
        <v>19466</v>
      </c>
      <c r="C43" s="7">
        <f t="shared" ref="C43:N43" si="68">C32+C35+C36+C37+C38+C39</f>
        <v>19205</v>
      </c>
      <c r="D43" s="7">
        <f t="shared" si="68"/>
        <v>21211</v>
      </c>
      <c r="E43" s="7">
        <f t="shared" si="68"/>
        <v>20257</v>
      </c>
      <c r="F43" s="7">
        <f t="shared" si="68"/>
        <v>21105</v>
      </c>
      <c r="G43" s="7">
        <f t="shared" si="68"/>
        <v>29094</v>
      </c>
      <c r="H43" s="7">
        <f t="shared" si="68"/>
        <v>34904</v>
      </c>
      <c r="I43" s="7">
        <f t="shared" si="68"/>
        <v>36963</v>
      </c>
      <c r="J43" s="7">
        <f t="shared" si="68"/>
        <v>39412.428601460182</v>
      </c>
      <c r="K43" s="7">
        <f t="shared" si="68"/>
        <v>42019.637933390222</v>
      </c>
      <c r="L43" s="7">
        <f t="shared" si="68"/>
        <v>45582.737234821703</v>
      </c>
      <c r="M43" s="7">
        <f t="shared" si="68"/>
        <v>49602.737385222521</v>
      </c>
      <c r="N43" s="7">
        <f t="shared" si="68"/>
        <v>54154.139869666542</v>
      </c>
      <c r="O43" s="150" t="s">
        <v>303</v>
      </c>
      <c r="P43" s="97"/>
      <c r="Q43" s="97"/>
      <c r="R43" s="97"/>
      <c r="S43" s="97"/>
      <c r="T43" s="97"/>
      <c r="U43" s="97"/>
      <c r="V43" s="97"/>
      <c r="W43" s="97"/>
      <c r="X43" s="104"/>
    </row>
    <row r="44" spans="1:24" s="51" customFormat="1" ht="18" customHeight="1" thickTop="1" x14ac:dyDescent="0.3">
      <c r="A44" s="62" t="s">
        <v>175</v>
      </c>
      <c r="B44" s="62">
        <f>B43-B31</f>
        <v>0</v>
      </c>
      <c r="C44" s="62">
        <f t="shared" ref="C44:I44" si="69">C43-C31</f>
        <v>0</v>
      </c>
      <c r="D44" s="62">
        <f t="shared" si="69"/>
        <v>0</v>
      </c>
      <c r="E44" s="62">
        <f t="shared" si="69"/>
        <v>0</v>
      </c>
      <c r="F44" s="62">
        <f t="shared" si="69"/>
        <v>0</v>
      </c>
      <c r="G44" s="62">
        <f t="shared" si="69"/>
        <v>0</v>
      </c>
      <c r="H44" s="62">
        <f t="shared" si="69"/>
        <v>0</v>
      </c>
      <c r="I44" s="123">
        <f t="shared" si="69"/>
        <v>0</v>
      </c>
      <c r="J44" s="123">
        <f t="shared" ref="J44" si="70">J43-J31</f>
        <v>0.26324091821152251</v>
      </c>
      <c r="K44" s="123">
        <f t="shared" ref="K44" si="71">K43-K31</f>
        <v>0.34061960556573467</v>
      </c>
      <c r="L44" s="123">
        <f t="shared" ref="L44" si="72">L43-L31</f>
        <v>0.47434350774710765</v>
      </c>
      <c r="M44" s="123">
        <f t="shared" ref="M44" si="73">M43-M31</f>
        <v>6.3647152433986776E-2</v>
      </c>
      <c r="N44" s="123">
        <f t="shared" ref="N44" si="74">N43-N31</f>
        <v>-8.0877845939539839E-2</v>
      </c>
      <c r="O44" s="149"/>
      <c r="P44" s="23"/>
      <c r="Q44" s="23"/>
      <c r="R44" s="23"/>
      <c r="S44" s="23"/>
      <c r="T44" s="23"/>
      <c r="U44" s="23"/>
      <c r="V44" s="23"/>
      <c r="W44" s="23"/>
      <c r="X44" s="135"/>
    </row>
    <row r="45" spans="1:24" ht="28.8" x14ac:dyDescent="0.3">
      <c r="A45" s="60" t="s">
        <v>176</v>
      </c>
      <c r="B45" s="40"/>
      <c r="C45" s="40"/>
      <c r="D45" s="40"/>
      <c r="E45" s="40"/>
      <c r="F45" s="40"/>
      <c r="G45" s="40"/>
      <c r="H45" s="40"/>
      <c r="I45" s="40"/>
      <c r="J45" s="40"/>
      <c r="K45" s="40"/>
      <c r="L45" s="40"/>
      <c r="M45" s="40"/>
      <c r="N45" s="40"/>
      <c r="O45" s="150" t="s">
        <v>304</v>
      </c>
      <c r="P45" s="97"/>
      <c r="Q45" s="97"/>
      <c r="R45" s="97"/>
      <c r="S45" s="97"/>
      <c r="T45" s="97"/>
      <c r="U45" s="97"/>
      <c r="V45" s="97"/>
      <c r="W45" s="97"/>
      <c r="X45" s="104"/>
    </row>
    <row r="46" spans="1:24" x14ac:dyDescent="0.3">
      <c r="A46" s="5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J7</f>
        <v>7292.1607837293932</v>
      </c>
      <c r="K46" s="9">
        <f t="shared" ref="K46:N46" si="75">K7</f>
        <v>7804.6646058067217</v>
      </c>
      <c r="L46" s="9">
        <f t="shared" si="75"/>
        <v>8428.0474697883474</v>
      </c>
      <c r="M46" s="9">
        <f t="shared" si="75"/>
        <v>9162.5552361984755</v>
      </c>
      <c r="N46" s="9">
        <f t="shared" si="75"/>
        <v>10026.307744994265</v>
      </c>
      <c r="O46" s="150" t="s">
        <v>305</v>
      </c>
      <c r="P46" s="97"/>
      <c r="Q46" s="97"/>
      <c r="R46" s="97"/>
      <c r="S46" s="97"/>
      <c r="T46" s="97"/>
      <c r="U46" s="97"/>
      <c r="V46" s="97"/>
      <c r="W46" s="97"/>
      <c r="X46" s="104"/>
    </row>
    <row r="47" spans="1:24" x14ac:dyDescent="0.3">
      <c r="A47" s="50" t="s">
        <v>132</v>
      </c>
      <c r="B47" s="63">
        <f>'Segmental forecast'!B8</f>
        <v>606</v>
      </c>
      <c r="C47" s="63">
        <f>'Segmental forecast'!C8</f>
        <v>649</v>
      </c>
      <c r="D47" s="63">
        <f>'Segmental forecast'!D8</f>
        <v>706</v>
      </c>
      <c r="E47" s="63">
        <f>'Segmental forecast'!E8</f>
        <v>747</v>
      </c>
      <c r="F47" s="63">
        <f>'Segmental forecast'!F8</f>
        <v>705</v>
      </c>
      <c r="G47" s="63">
        <f>'Segmental forecast'!G8</f>
        <v>721</v>
      </c>
      <c r="H47" s="63">
        <f>'Segmental forecast'!H8</f>
        <v>744</v>
      </c>
      <c r="I47" s="63">
        <f>'Segmental forecast'!I8</f>
        <v>717</v>
      </c>
      <c r="J47" s="63">
        <f>J6</f>
        <v>762.61366422607568</v>
      </c>
      <c r="K47" s="63">
        <f t="shared" ref="K47:N47" si="76">K6</f>
        <v>816.21127805767492</v>
      </c>
      <c r="L47" s="63">
        <f t="shared" si="76"/>
        <v>881.40461432879886</v>
      </c>
      <c r="M47" s="63">
        <f t="shared" si="76"/>
        <v>958.21938511585586</v>
      </c>
      <c r="N47" s="63">
        <f t="shared" si="76"/>
        <v>1048.5505620129652</v>
      </c>
      <c r="O47" s="142"/>
      <c r="P47" s="97"/>
      <c r="Q47" s="97"/>
      <c r="R47" s="97"/>
      <c r="S47" s="97"/>
      <c r="T47" s="97"/>
      <c r="U47" s="97"/>
      <c r="V47" s="97"/>
      <c r="W47" s="97"/>
      <c r="X47" s="104"/>
    </row>
    <row r="48" spans="1:24" ht="18" customHeight="1" x14ac:dyDescent="0.3">
      <c r="A48" s="50" t="s">
        <v>177</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I48*(1+J4)</f>
        <v>1309.3129995290087</v>
      </c>
      <c r="K48" s="3">
        <f t="shared" ref="K48:N48" si="77">J48*(1+K4)</f>
        <v>1401.3334494965104</v>
      </c>
      <c r="L48" s="3">
        <f t="shared" si="77"/>
        <v>1513.2623155352182</v>
      </c>
      <c r="M48" s="3">
        <f t="shared" si="77"/>
        <v>1645.1437420887289</v>
      </c>
      <c r="N48" s="3">
        <f t="shared" si="77"/>
        <v>1800.231160164519</v>
      </c>
      <c r="O48" s="151" t="s">
        <v>314</v>
      </c>
      <c r="P48" s="97"/>
      <c r="Q48" s="97"/>
      <c r="R48" s="97"/>
      <c r="S48" s="97"/>
      <c r="T48" s="97"/>
      <c r="U48" s="97"/>
      <c r="V48" s="97"/>
      <c r="W48" s="97"/>
      <c r="X48" s="104"/>
    </row>
    <row r="49" spans="1:24" x14ac:dyDescent="0.3">
      <c r="A49" s="51" t="s">
        <v>178</v>
      </c>
      <c r="B49" s="9">
        <f>B46-B48</f>
        <v>2971</v>
      </c>
      <c r="C49" s="9">
        <f t="shared" ref="C49:I49" si="78">C46-C48</f>
        <v>3894</v>
      </c>
      <c r="D49" s="9">
        <f t="shared" si="78"/>
        <v>4242</v>
      </c>
      <c r="E49" s="9">
        <f t="shared" si="78"/>
        <v>3850</v>
      </c>
      <c r="F49" s="9">
        <f t="shared" si="78"/>
        <v>4093</v>
      </c>
      <c r="G49" s="9">
        <f t="shared" si="78"/>
        <v>1948</v>
      </c>
      <c r="H49" s="9">
        <f t="shared" si="78"/>
        <v>5746</v>
      </c>
      <c r="I49" s="9">
        <f t="shared" si="78"/>
        <v>5625</v>
      </c>
      <c r="J49" s="9">
        <f t="shared" ref="J49" si="79">J46-J48</f>
        <v>5982.8477842003849</v>
      </c>
      <c r="K49" s="9">
        <f t="shared" ref="K49" si="80">K46-K48</f>
        <v>6403.3311563102116</v>
      </c>
      <c r="L49" s="9">
        <f t="shared" ref="L49" si="81">L46-L48</f>
        <v>6914.7851542531289</v>
      </c>
      <c r="M49" s="9">
        <f t="shared" ref="M49" si="82">M46-M48</f>
        <v>7517.4114941097469</v>
      </c>
      <c r="N49" s="9">
        <f t="shared" ref="N49" si="83">N46-N48</f>
        <v>8226.0765848297451</v>
      </c>
      <c r="O49" s="152" t="s">
        <v>315</v>
      </c>
      <c r="P49" s="24"/>
      <c r="Q49" s="24"/>
      <c r="R49" s="24"/>
      <c r="S49" s="24"/>
      <c r="T49" s="24"/>
      <c r="U49" s="24"/>
      <c r="V49" s="24"/>
      <c r="W49" s="24"/>
      <c r="X49" s="136"/>
    </row>
    <row r="50" spans="1:24" x14ac:dyDescent="0.3">
      <c r="A50" s="50" t="s">
        <v>179</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I50*(1+J4)</f>
        <v>308.44904131877541</v>
      </c>
      <c r="K50" s="3">
        <f t="shared" ref="K50:N50" si="84">J50*(1+K4)</f>
        <v>330.12729516977095</v>
      </c>
      <c r="L50" s="3">
        <f t="shared" si="84"/>
        <v>356.49559017482807</v>
      </c>
      <c r="M50" s="3">
        <f t="shared" si="84"/>
        <v>387.56432591854707</v>
      </c>
      <c r="N50" s="3">
        <f t="shared" si="84"/>
        <v>424.09994837344482</v>
      </c>
      <c r="O50" s="142"/>
    </row>
    <row r="51" spans="1:24" x14ac:dyDescent="0.3">
      <c r="A51" s="50" t="s">
        <v>180</v>
      </c>
      <c r="B51" s="3">
        <f>(Historicals!L25-'Three Statements'!B23)</f>
        <v>-113</v>
      </c>
      <c r="C51" s="3">
        <f>(B23-C23)</f>
        <v>-324</v>
      </c>
      <c r="D51" s="3">
        <f t="shared" ref="D51:N51" si="85">(C23-D23)</f>
        <v>-796</v>
      </c>
      <c r="E51" s="3">
        <f t="shared" si="85"/>
        <v>204</v>
      </c>
      <c r="F51" s="3">
        <f t="shared" si="85"/>
        <v>-802</v>
      </c>
      <c r="G51" s="3">
        <f t="shared" si="85"/>
        <v>-586</v>
      </c>
      <c r="H51" s="3">
        <f t="shared" si="85"/>
        <v>-613</v>
      </c>
      <c r="I51" s="3">
        <f t="shared" si="85"/>
        <v>-1248</v>
      </c>
      <c r="J51" s="3">
        <f t="shared" si="85"/>
        <v>239.82051200000024</v>
      </c>
      <c r="K51" s="3">
        <f t="shared" si="85"/>
        <v>-666.91353910200087</v>
      </c>
      <c r="L51" s="3">
        <f t="shared" si="85"/>
        <v>-811.19877379333775</v>
      </c>
      <c r="M51" s="3">
        <f t="shared" si="85"/>
        <v>-955.80394309834628</v>
      </c>
      <c r="N51" s="3">
        <f t="shared" si="85"/>
        <v>-1123.9881884477272</v>
      </c>
      <c r="O51" s="142"/>
    </row>
    <row r="52" spans="1:24" x14ac:dyDescent="0.3">
      <c r="A52" s="50"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I52*(1+J4)</f>
        <v>-806.22197696424746</v>
      </c>
      <c r="K52" s="3">
        <f t="shared" ref="K52:N52" si="86">J52*(1+K4)</f>
        <v>-862.88444737478051</v>
      </c>
      <c r="L52" s="3">
        <f t="shared" si="86"/>
        <v>-931.80571500868837</v>
      </c>
      <c r="M52" s="3">
        <f t="shared" si="86"/>
        <v>-1013.012962228478</v>
      </c>
      <c r="N52" s="3">
        <f t="shared" si="86"/>
        <v>-1108.5095202312798</v>
      </c>
      <c r="O52" s="142"/>
    </row>
    <row r="53" spans="1:24" x14ac:dyDescent="0.3">
      <c r="A53" s="51" t="s">
        <v>181</v>
      </c>
      <c r="B53" s="9">
        <f>B49+B47-B48-B51-B52</f>
        <v>3391</v>
      </c>
      <c r="C53" s="9">
        <f t="shared" ref="C53:I53" si="87">C49+C47-C48-C51-C52</f>
        <v>5262</v>
      </c>
      <c r="D53" s="9">
        <f t="shared" si="87"/>
        <v>6146</v>
      </c>
      <c r="E53" s="9">
        <f t="shared" si="87"/>
        <v>4892</v>
      </c>
      <c r="F53" s="9">
        <f t="shared" si="87"/>
        <v>5962</v>
      </c>
      <c r="G53" s="9">
        <f t="shared" si="87"/>
        <v>3313</v>
      </c>
      <c r="H53" s="9">
        <f t="shared" si="87"/>
        <v>6621</v>
      </c>
      <c r="I53" s="9">
        <f t="shared" si="87"/>
        <v>7117</v>
      </c>
      <c r="J53" s="9">
        <f t="shared" ref="J53" si="88">J49+J47-J48-J51-J52</f>
        <v>6002.5499138616979</v>
      </c>
      <c r="K53" s="9">
        <f t="shared" ref="K53" si="89">K49+K47-K48-K51-K52</f>
        <v>7348.0069713481571</v>
      </c>
      <c r="L53" s="9">
        <f t="shared" ref="L53" si="90">L49+L47-L48-L51-L52</f>
        <v>8025.9319418487357</v>
      </c>
      <c r="M53" s="9">
        <f t="shared" ref="M53" si="91">M49+M47-M48-M51-M52</f>
        <v>8799.3040424636984</v>
      </c>
      <c r="N53" s="9">
        <f t="shared" ref="N53" si="92">N49+N47-N48-N51-N52</f>
        <v>9706.8936953572011</v>
      </c>
      <c r="O53" s="143"/>
    </row>
    <row r="54" spans="1:24" x14ac:dyDescent="0.3">
      <c r="A54" s="50" t="s">
        <v>182</v>
      </c>
      <c r="B54" s="3">
        <f>+Historicals!B76-('Three Statements'!B49+'Three Statements'!B47+'Three Statements'!B51)</f>
        <v>1144</v>
      </c>
      <c r="C54" s="3">
        <f>+Historicals!C76-('Three Statements'!C49+'Three Statements'!C47+'Three Statements'!C51)</f>
        <v>-820</v>
      </c>
      <c r="D54" s="3">
        <f>+Historicals!D76-('Three Statements'!D49+'Three Statements'!D47+'Three Statements'!D51)</f>
        <v>-306</v>
      </c>
      <c r="E54" s="3">
        <f>+Historicals!E76-('Three Statements'!E49+'Three Statements'!E47+'Three Statements'!E51)</f>
        <v>154</v>
      </c>
      <c r="F54" s="3">
        <f>+Historicals!F76-('Three Statements'!F49+'Three Statements'!F47+'Three Statements'!F51)</f>
        <v>1907</v>
      </c>
      <c r="G54" s="3">
        <f>+Historicals!G76-('Three Statements'!G49+'Three Statements'!G47+'Three Statements'!G51)</f>
        <v>402</v>
      </c>
      <c r="H54" s="3">
        <f>+Historicals!H76-('Three Statements'!H49+'Three Statements'!H47+'Three Statements'!H51)</f>
        <v>780</v>
      </c>
      <c r="I54" s="3">
        <f>+Historicals!I76-('Three Statements'!I49+'Three Statements'!I47+'Three Statements'!I51)</f>
        <v>94</v>
      </c>
      <c r="J54" s="3">
        <f>I54*(1+J4)</f>
        <v>99.980034082637545</v>
      </c>
      <c r="K54" s="3">
        <f t="shared" ref="K54:N54" si="93">J54*(1+K4)</f>
        <v>107.00677843433954</v>
      </c>
      <c r="L54" s="3">
        <f t="shared" si="93"/>
        <v>115.55374302218563</v>
      </c>
      <c r="M54" s="3">
        <f t="shared" si="93"/>
        <v>125.62429874601179</v>
      </c>
      <c r="N54" s="3">
        <f t="shared" si="93"/>
        <v>137.46687981759933</v>
      </c>
      <c r="O54" s="142"/>
    </row>
    <row r="55" spans="1:24" x14ac:dyDescent="0.3">
      <c r="A55" s="28" t="s">
        <v>183</v>
      </c>
      <c r="B55" s="27">
        <f>B47+B49+B51+B54</f>
        <v>4608</v>
      </c>
      <c r="C55" s="27">
        <f t="shared" ref="C55:I55" si="94">C47+C49+C51+C54</f>
        <v>3399</v>
      </c>
      <c r="D55" s="27">
        <f t="shared" si="94"/>
        <v>3846</v>
      </c>
      <c r="E55" s="27">
        <f t="shared" si="94"/>
        <v>4955</v>
      </c>
      <c r="F55" s="27">
        <f t="shared" si="94"/>
        <v>5903</v>
      </c>
      <c r="G55" s="27">
        <f t="shared" si="94"/>
        <v>2485</v>
      </c>
      <c r="H55" s="27">
        <f t="shared" si="94"/>
        <v>6657</v>
      </c>
      <c r="I55" s="27">
        <f t="shared" si="94"/>
        <v>5188</v>
      </c>
      <c r="J55" s="27">
        <f t="shared" ref="J55" si="95">J47+J49+J51+J54</f>
        <v>7085.2619945090983</v>
      </c>
      <c r="K55" s="27">
        <f t="shared" ref="K55" si="96">K47+K49+K51+K54</f>
        <v>6659.6356737002243</v>
      </c>
      <c r="L55" s="27">
        <f t="shared" ref="L55" si="97">L47+L49+L51+L54</f>
        <v>7100.5447378107756</v>
      </c>
      <c r="M55" s="27">
        <f t="shared" ref="M55" si="98">M47+M49+M51+M54</f>
        <v>7645.4512348732678</v>
      </c>
      <c r="N55" s="27">
        <f t="shared" ref="N55" si="99">N47+N49+N51+N54</f>
        <v>8288.105838212583</v>
      </c>
      <c r="O55" s="142"/>
    </row>
    <row r="56" spans="1:24" x14ac:dyDescent="0.3">
      <c r="A56" s="50" t="s">
        <v>184</v>
      </c>
      <c r="B56" s="3">
        <f>Historicals!B78+Historicals!B79+Historicals!B80</f>
        <v>935</v>
      </c>
      <c r="C56" s="3">
        <f>Historicals!C78+Historicals!C79+Historicals!C80</f>
        <v>-57</v>
      </c>
      <c r="D56" s="3">
        <f>Historicals!D78+Historicals!D79+Historicals!D80</f>
        <v>118</v>
      </c>
      <c r="E56" s="3">
        <f>Historicals!E78+Historicals!E79+Historicals!E80</f>
        <v>1326</v>
      </c>
      <c r="F56" s="3">
        <f>Historicals!F78+Historicals!F79+Historicals!F80</f>
        <v>850</v>
      </c>
      <c r="G56" s="3">
        <f>Historicals!G78+Historicals!G79+Historicals!G80</f>
        <v>27</v>
      </c>
      <c r="H56" s="3">
        <f>Historicals!H78+Historicals!H79+Historicals!H80</f>
        <v>-3276</v>
      </c>
      <c r="I56" s="3">
        <f>Historicals!I78+Historicals!I79+Historicals!I80</f>
        <v>-747</v>
      </c>
      <c r="J56" s="3">
        <f>J52</f>
        <v>-806.22197696424746</v>
      </c>
      <c r="K56" s="3">
        <f t="shared" ref="K56:N56" si="100">J56*(1+K4)</f>
        <v>-862.88444737478051</v>
      </c>
      <c r="L56" s="3">
        <f t="shared" si="100"/>
        <v>-931.80571500868837</v>
      </c>
      <c r="M56" s="3">
        <f t="shared" si="100"/>
        <v>-1013.012962228478</v>
      </c>
      <c r="N56" s="3">
        <f t="shared" si="100"/>
        <v>-1108.5095202312798</v>
      </c>
      <c r="O56" s="142"/>
    </row>
    <row r="57" spans="1:24" x14ac:dyDescent="0.3">
      <c r="A57" s="50" t="s">
        <v>185</v>
      </c>
      <c r="B57" s="3">
        <f>Historicals!B82</f>
        <v>-75</v>
      </c>
      <c r="C57" s="3">
        <f>Historicals!C82</f>
        <v>166</v>
      </c>
      <c r="D57" s="3">
        <f>Historicals!D82</f>
        <v>-21</v>
      </c>
      <c r="E57" s="3">
        <f>Historicals!E82</f>
        <v>-22</v>
      </c>
      <c r="F57" s="3">
        <f>Historicals!F82</f>
        <v>5</v>
      </c>
      <c r="G57" s="3">
        <f>Historicals!G82</f>
        <v>31</v>
      </c>
      <c r="H57" s="3">
        <f>Historicals!H82</f>
        <v>171</v>
      </c>
      <c r="I57" s="3">
        <f>Historicals!I82</f>
        <v>-19</v>
      </c>
      <c r="J57" s="3">
        <f>I57*(1+J4)</f>
        <v>-20.208730293299077</v>
      </c>
      <c r="K57" s="3">
        <f t="shared" ref="K57:N57" si="101">J57*(1+K4)</f>
        <v>-21.629029683536714</v>
      </c>
      <c r="L57" s="3">
        <f t="shared" si="101"/>
        <v>-23.356607632143906</v>
      </c>
      <c r="M57" s="3">
        <f t="shared" si="101"/>
        <v>-25.39214549121515</v>
      </c>
      <c r="N57" s="3">
        <f t="shared" si="101"/>
        <v>-27.785858686536038</v>
      </c>
      <c r="O57" s="142"/>
    </row>
    <row r="58" spans="1:24" x14ac:dyDescent="0.3">
      <c r="A58" s="28" t="s">
        <v>186</v>
      </c>
      <c r="B58" s="27">
        <f>B52+B56+B57</f>
        <v>-103</v>
      </c>
      <c r="C58" s="27">
        <f t="shared" ref="C58:I58" si="102">C52+C56+C57</f>
        <v>-1034</v>
      </c>
      <c r="D58" s="27">
        <f t="shared" si="102"/>
        <v>-1008</v>
      </c>
      <c r="E58" s="27">
        <f t="shared" si="102"/>
        <v>276</v>
      </c>
      <c r="F58" s="27">
        <f t="shared" si="102"/>
        <v>-264</v>
      </c>
      <c r="G58" s="27">
        <f t="shared" si="102"/>
        <v>-1028</v>
      </c>
      <c r="H58" s="27">
        <f t="shared" si="102"/>
        <v>-3800</v>
      </c>
      <c r="I58" s="27">
        <f t="shared" si="102"/>
        <v>-1524</v>
      </c>
      <c r="J58" s="27">
        <f t="shared" ref="J58" si="103">J52+J56+J57</f>
        <v>-1632.6526842217941</v>
      </c>
      <c r="K58" s="27">
        <f t="shared" ref="K58" si="104">K52+K56+K57</f>
        <v>-1747.3979244330976</v>
      </c>
      <c r="L58" s="27">
        <f t="shared" ref="L58" si="105">L52+L56+L57</f>
        <v>-1886.9680376495207</v>
      </c>
      <c r="M58" s="27">
        <f t="shared" ref="M58" si="106">M52+M56+M57</f>
        <v>-2051.4180699481713</v>
      </c>
      <c r="N58" s="27">
        <f t="shared" ref="N58" si="107">N52+N56+N57</f>
        <v>-2244.8048991490955</v>
      </c>
      <c r="O58" s="142"/>
    </row>
    <row r="59" spans="1:24" x14ac:dyDescent="0.3">
      <c r="A59" s="50" t="s">
        <v>187</v>
      </c>
      <c r="B59" s="3">
        <f>+Historicals!B88+Historicals!B89</f>
        <v>732</v>
      </c>
      <c r="C59" s="3">
        <f>+Historicals!C88+Historicals!C89</f>
        <v>-2731</v>
      </c>
      <c r="D59" s="3">
        <f>+Historicals!D88+Historicals!D89</f>
        <v>-2734</v>
      </c>
      <c r="E59" s="3">
        <f>+Historicals!E88+Historicals!E89</f>
        <v>-3521</v>
      </c>
      <c r="F59" s="3">
        <f>+Historicals!F88+Historicals!F89</f>
        <v>-3586</v>
      </c>
      <c r="G59" s="3">
        <f>+Historicals!G88+Historicals!G89</f>
        <v>-2182</v>
      </c>
      <c r="H59" s="3">
        <f>+Historicals!H88+Historicals!H89</f>
        <v>564</v>
      </c>
      <c r="I59" s="3">
        <f>+Historicals!I88+Historicals!I89</f>
        <v>-2863</v>
      </c>
      <c r="J59" s="124">
        <v>-1867</v>
      </c>
      <c r="K59" s="124">
        <v>-1650</v>
      </c>
      <c r="L59" s="124">
        <v>-1767</v>
      </c>
      <c r="M59" s="124">
        <v>-2010</v>
      </c>
      <c r="N59" s="124">
        <v>-2399</v>
      </c>
      <c r="O59" s="142"/>
    </row>
    <row r="60" spans="1:24" x14ac:dyDescent="0.3">
      <c r="A60" s="56" t="s">
        <v>129</v>
      </c>
      <c r="B60" s="57">
        <f>IFERROR(B59/Historicals!L88-1,"nm")</f>
        <v>-1.3260579064587974</v>
      </c>
      <c r="C60" s="57">
        <f>IFERROR(C59/B59-1,"nm")</f>
        <v>-4.7308743169398912</v>
      </c>
      <c r="D60" s="57">
        <f t="shared" ref="D60:I60" si="108">IFERROR(D59/C59-1,"nm")</f>
        <v>1.0984987184181616E-3</v>
      </c>
      <c r="E60" s="57">
        <f t="shared" si="108"/>
        <v>0.28785662033650339</v>
      </c>
      <c r="F60" s="57">
        <f t="shared" si="108"/>
        <v>1.8460664583924924E-2</v>
      </c>
      <c r="G60" s="57">
        <f t="shared" si="108"/>
        <v>-0.39152258784160621</v>
      </c>
      <c r="H60" s="57">
        <f t="shared" si="108"/>
        <v>-1.2584784601283228</v>
      </c>
      <c r="I60" s="57">
        <f t="shared" si="108"/>
        <v>-6.0762411347517729</v>
      </c>
      <c r="J60" s="57">
        <f t="shared" ref="J60" si="109">IFERROR(J59/I59-1,"nm")</f>
        <v>-0.34788683199441151</v>
      </c>
      <c r="K60" s="57">
        <f t="shared" ref="K60" si="110">IFERROR(K59/J59-1,"nm")</f>
        <v>-0.11622924477771823</v>
      </c>
      <c r="L60" s="57">
        <f t="shared" ref="L60" si="111">IFERROR(L59/K59-1,"nm")</f>
        <v>7.0909090909090811E-2</v>
      </c>
      <c r="M60" s="57">
        <f t="shared" ref="M60:N60" si="112">IFERROR(M59/L59-1,"nm")</f>
        <v>0.13752122241086595</v>
      </c>
      <c r="N60" s="57">
        <f t="shared" si="112"/>
        <v>0.19353233830845773</v>
      </c>
      <c r="O60" s="142"/>
    </row>
    <row r="61" spans="1:24" x14ac:dyDescent="0.3">
      <c r="A61" s="50" t="s">
        <v>188</v>
      </c>
      <c r="B61" s="3">
        <f>+Historicals!B90</f>
        <v>-2534</v>
      </c>
      <c r="C61" s="3">
        <f>+Historicals!C90</f>
        <v>-1022</v>
      </c>
      <c r="D61" s="3">
        <f>+Historicals!D90</f>
        <v>-1133</v>
      </c>
      <c r="E61" s="3">
        <f>+Historicals!E90</f>
        <v>-1243</v>
      </c>
      <c r="F61" s="3">
        <f>+Historicals!F90</f>
        <v>-1332</v>
      </c>
      <c r="G61" s="3">
        <f>+Historicals!G90</f>
        <v>-1452</v>
      </c>
      <c r="H61" s="3">
        <f>+Historicals!H90</f>
        <v>-1638</v>
      </c>
      <c r="I61" s="3">
        <f>+Historicals!I90</f>
        <v>-1837</v>
      </c>
      <c r="J61" s="3">
        <f>-J15*J17</f>
        <v>-2220.5660231700958</v>
      </c>
      <c r="K61" s="3">
        <f t="shared" ref="K61:N61" si="113">-K15*K17</f>
        <v>-2376.6306805195327</v>
      </c>
      <c r="L61" s="3">
        <f t="shared" si="113"/>
        <v>-2566.4595732494754</v>
      </c>
      <c r="M61" s="3">
        <f t="shared" si="113"/>
        <v>-2790.1275693644411</v>
      </c>
      <c r="N61" s="3">
        <f t="shared" si="113"/>
        <v>-3053.1524162300552</v>
      </c>
      <c r="O61" s="142"/>
    </row>
    <row r="62" spans="1:24" x14ac:dyDescent="0.3">
      <c r="A62" s="50" t="s">
        <v>189</v>
      </c>
      <c r="B62" s="3">
        <f>+SUM(Historicals!B85:B87)</f>
        <v>-82</v>
      </c>
      <c r="C62" s="3">
        <f>+SUM(Historicals!C85:C87)</f>
        <v>907</v>
      </c>
      <c r="D62" s="3">
        <f>+SUM(Historicals!D85:D87)</f>
        <v>1792</v>
      </c>
      <c r="E62" s="3">
        <f>+SUM(Historicals!E85:E87)</f>
        <v>-10</v>
      </c>
      <c r="F62" s="3">
        <f>+SUM(Historicals!F85:F87)</f>
        <v>-325</v>
      </c>
      <c r="G62" s="3">
        <f>+SUM(Historicals!G85:G87)</f>
        <v>6183</v>
      </c>
      <c r="H62" s="3">
        <f>+SUM(Historicals!H85:H87)</f>
        <v>-249</v>
      </c>
      <c r="I62" s="3">
        <f>+SUM(Historicals!I85:I87)</f>
        <v>15</v>
      </c>
      <c r="J62" s="3">
        <f>I36-J36</f>
        <v>-500</v>
      </c>
      <c r="K62" s="3">
        <f>J36-K36</f>
        <v>-500</v>
      </c>
      <c r="L62" s="3">
        <f t="shared" ref="L62:N62" si="114">K36-L36</f>
        <v>-1000</v>
      </c>
      <c r="M62" s="3">
        <f t="shared" si="114"/>
        <v>-1000</v>
      </c>
      <c r="N62" s="3">
        <f t="shared" si="114"/>
        <v>-1000</v>
      </c>
      <c r="O62" s="142" t="s">
        <v>311</v>
      </c>
    </row>
    <row r="63" spans="1:24" x14ac:dyDescent="0.3">
      <c r="A63" s="50" t="s">
        <v>190</v>
      </c>
      <c r="B63" s="3">
        <f>+Historicals!B91</f>
        <v>-906</v>
      </c>
      <c r="C63" s="3">
        <f>+Historicals!C91</f>
        <v>-128</v>
      </c>
      <c r="D63" s="3">
        <f>+Historicals!D91</f>
        <v>-73</v>
      </c>
      <c r="E63" s="3">
        <f>+Historicals!E91</f>
        <v>-61</v>
      </c>
      <c r="F63" s="3">
        <f>+Historicals!F91</f>
        <v>-50</v>
      </c>
      <c r="G63" s="3">
        <f>+Historicals!G91</f>
        <v>-58</v>
      </c>
      <c r="H63" s="3">
        <f>+Historicals!H91</f>
        <v>-136</v>
      </c>
      <c r="I63" s="3">
        <f>+Historicals!I91</f>
        <v>-151</v>
      </c>
      <c r="J63" s="3">
        <f>I63*(1+J4)</f>
        <v>-160.60622496253478</v>
      </c>
      <c r="K63" s="3">
        <f t="shared" ref="K63:N63" si="115">J63*(1+K4)</f>
        <v>-171.89386748494968</v>
      </c>
      <c r="L63" s="3">
        <f t="shared" si="115"/>
        <v>-185.62356591861735</v>
      </c>
      <c r="M63" s="3">
        <f t="shared" si="115"/>
        <v>-201.80073521965724</v>
      </c>
      <c r="N63" s="3">
        <f t="shared" si="115"/>
        <v>-220.82445587720744</v>
      </c>
      <c r="O63" s="153" t="s">
        <v>214</v>
      </c>
    </row>
    <row r="64" spans="1:24" ht="15" customHeight="1" x14ac:dyDescent="0.3">
      <c r="A64" s="28" t="s">
        <v>191</v>
      </c>
      <c r="B64" s="27">
        <f>B59+B61+B62+B63</f>
        <v>-2790</v>
      </c>
      <c r="C64" s="27">
        <f t="shared" ref="C64:I64" si="116">C59+C61+C62+C63</f>
        <v>-2974</v>
      </c>
      <c r="D64" s="27">
        <f t="shared" si="116"/>
        <v>-2148</v>
      </c>
      <c r="E64" s="27">
        <f t="shared" si="116"/>
        <v>-4835</v>
      </c>
      <c r="F64" s="27">
        <f t="shared" si="116"/>
        <v>-5293</v>
      </c>
      <c r="G64" s="27">
        <f t="shared" si="116"/>
        <v>2491</v>
      </c>
      <c r="H64" s="27">
        <f t="shared" si="116"/>
        <v>-1459</v>
      </c>
      <c r="I64" s="27">
        <f t="shared" si="116"/>
        <v>-4836</v>
      </c>
      <c r="J64" s="27">
        <f t="shared" ref="J64" si="117">J59+J61+J62+J63</f>
        <v>-4748.1722481326306</v>
      </c>
      <c r="K64" s="27">
        <f t="shared" ref="K64" si="118">K59+K61+K62+K63</f>
        <v>-4698.5245480044823</v>
      </c>
      <c r="L64" s="27">
        <f t="shared" ref="L64" si="119">L59+L61+L62+L63</f>
        <v>-5519.0831391680931</v>
      </c>
      <c r="M64" s="27">
        <f t="shared" ref="M64" si="120">M59+M61+M62+M63</f>
        <v>-6001.9283045840984</v>
      </c>
      <c r="N64" s="27">
        <f t="shared" ref="N64" si="121">N59+N61+N62+N63</f>
        <v>-6672.9768721072633</v>
      </c>
      <c r="O64" s="142" t="s">
        <v>287</v>
      </c>
    </row>
    <row r="65" spans="1:15" x14ac:dyDescent="0.3">
      <c r="A65" s="50" t="s">
        <v>192</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f>I65*(1+J4)</f>
        <v>-152.09728589167202</v>
      </c>
      <c r="K65" s="3">
        <f t="shared" ref="K65:N65" si="122">J65*(1+K4)</f>
        <v>-162.78690761819738</v>
      </c>
      <c r="L65" s="3">
        <f t="shared" si="122"/>
        <v>-175.78920481034623</v>
      </c>
      <c r="M65" s="3">
        <f t="shared" si="122"/>
        <v>-191.10930553914559</v>
      </c>
      <c r="N65" s="3">
        <f t="shared" si="122"/>
        <v>-209.12514695656068</v>
      </c>
      <c r="O65" s="142" t="s">
        <v>288</v>
      </c>
    </row>
    <row r="66" spans="1:15" x14ac:dyDescent="0.3">
      <c r="A66" s="28" t="s">
        <v>193</v>
      </c>
      <c r="B66" s="27">
        <f>B55+B58+B64+B65</f>
        <v>1632</v>
      </c>
      <c r="C66" s="27">
        <f t="shared" ref="C66:I66" si="123">C55+C58+C64+C65</f>
        <v>-714</v>
      </c>
      <c r="D66" s="27">
        <f t="shared" si="123"/>
        <v>670</v>
      </c>
      <c r="E66" s="27">
        <f t="shared" si="123"/>
        <v>441</v>
      </c>
      <c r="F66" s="27">
        <f t="shared" si="123"/>
        <v>217</v>
      </c>
      <c r="G66" s="27">
        <f t="shared" si="123"/>
        <v>3882</v>
      </c>
      <c r="H66" s="27">
        <f t="shared" si="123"/>
        <v>1541</v>
      </c>
      <c r="I66" s="27">
        <f t="shared" si="123"/>
        <v>-1315</v>
      </c>
      <c r="J66" s="27">
        <f t="shared" ref="J66" si="124">J55+J58+J64+J65</f>
        <v>552.33977626300111</v>
      </c>
      <c r="K66" s="27">
        <f t="shared" ref="K66" si="125">K55+K58+K64+K65</f>
        <v>50.926293644446986</v>
      </c>
      <c r="L66" s="27">
        <f t="shared" ref="L66" si="126">L55+L58+L64+L65</f>
        <v>-481.2956438171845</v>
      </c>
      <c r="M66" s="27">
        <f t="shared" ref="M66" si="127">M55+M58+M64+M65</f>
        <v>-599.00444519814744</v>
      </c>
      <c r="N66" s="27">
        <f t="shared" ref="N66" si="128">N55+N58+N64+N65</f>
        <v>-838.80108000033692</v>
      </c>
      <c r="O66" s="153" t="s">
        <v>281</v>
      </c>
    </row>
    <row r="67" spans="1:15" x14ac:dyDescent="0.3">
      <c r="A67" s="50" t="s">
        <v>194</v>
      </c>
      <c r="B67" s="3">
        <f>+Historicals!B95</f>
        <v>2220</v>
      </c>
      <c r="C67" s="3">
        <f>+Historicals!C95</f>
        <v>3852</v>
      </c>
      <c r="D67" s="3">
        <f>+Historicals!D95</f>
        <v>3138</v>
      </c>
      <c r="E67" s="3">
        <f>+Historicals!E95</f>
        <v>3808</v>
      </c>
      <c r="F67" s="3">
        <f>+Historicals!F95</f>
        <v>4249</v>
      </c>
      <c r="G67" s="3">
        <f>+Historicals!G95</f>
        <v>4466</v>
      </c>
      <c r="H67" s="3">
        <f>+Historicals!H95</f>
        <v>8348</v>
      </c>
      <c r="I67" s="3">
        <f>+Historicals!I95</f>
        <v>9889</v>
      </c>
      <c r="J67" s="3">
        <f>I68</f>
        <v>8574</v>
      </c>
      <c r="K67" s="3">
        <f>J68</f>
        <v>9126.3397762630011</v>
      </c>
      <c r="L67" s="3">
        <f>K68</f>
        <v>9177.2660699074477</v>
      </c>
      <c r="M67" s="3">
        <f>L68</f>
        <v>8695.9704260902636</v>
      </c>
      <c r="N67" s="3">
        <f>M68</f>
        <v>8096.965980892116</v>
      </c>
      <c r="O67" s="154" t="s">
        <v>215</v>
      </c>
    </row>
    <row r="68" spans="1:15" ht="15" thickBot="1" x14ac:dyDescent="0.35">
      <c r="A68" s="6" t="s">
        <v>195</v>
      </c>
      <c r="B68" s="7">
        <f>B66+B67</f>
        <v>3852</v>
      </c>
      <c r="C68" s="7">
        <f t="shared" ref="C68:I68" si="129">C66+C67</f>
        <v>3138</v>
      </c>
      <c r="D68" s="7">
        <f t="shared" si="129"/>
        <v>3808</v>
      </c>
      <c r="E68" s="7">
        <f t="shared" si="129"/>
        <v>4249</v>
      </c>
      <c r="F68" s="7">
        <f t="shared" si="129"/>
        <v>4466</v>
      </c>
      <c r="G68" s="7">
        <f t="shared" si="129"/>
        <v>8348</v>
      </c>
      <c r="H68" s="7">
        <f t="shared" si="129"/>
        <v>9889</v>
      </c>
      <c r="I68" s="7">
        <f t="shared" si="129"/>
        <v>8574</v>
      </c>
      <c r="J68" s="125">
        <f t="shared" ref="J68" si="130">J66+J67</f>
        <v>9126.3397762630011</v>
      </c>
      <c r="K68" s="125">
        <f t="shared" ref="K68" si="131">K66+K67</f>
        <v>9177.2660699074477</v>
      </c>
      <c r="L68" s="125">
        <f t="shared" ref="L68" si="132">L66+L67</f>
        <v>8695.9704260902636</v>
      </c>
      <c r="M68" s="125">
        <f t="shared" ref="M68" si="133">M66+M67</f>
        <v>8096.965980892116</v>
      </c>
      <c r="N68" s="125">
        <f t="shared" ref="N68" si="134">N66+N67</f>
        <v>7258.1649008917793</v>
      </c>
      <c r="O68" s="107"/>
    </row>
    <row r="69" spans="1:15" ht="15" thickTop="1" x14ac:dyDescent="0.3">
      <c r="A69" s="62" t="s">
        <v>175</v>
      </c>
      <c r="B69" s="123">
        <f>+B68-B21</f>
        <v>0</v>
      </c>
      <c r="C69" s="123">
        <f t="shared" ref="C69:I69" si="135">+C68-C21</f>
        <v>0</v>
      </c>
      <c r="D69" s="123">
        <f t="shared" si="135"/>
        <v>0</v>
      </c>
      <c r="E69" s="123">
        <f t="shared" si="135"/>
        <v>0</v>
      </c>
      <c r="F69" s="123">
        <f t="shared" si="135"/>
        <v>0</v>
      </c>
      <c r="G69" s="123">
        <f t="shared" si="135"/>
        <v>0</v>
      </c>
      <c r="H69" s="123">
        <f t="shared" si="135"/>
        <v>0</v>
      </c>
      <c r="I69" s="123">
        <f t="shared" si="135"/>
        <v>0</v>
      </c>
      <c r="J69" s="123">
        <f t="shared" ref="J69" si="136">+J68-J21</f>
        <v>0</v>
      </c>
      <c r="K69" s="123">
        <f t="shared" ref="K69" si="137">+K68-K21</f>
        <v>0</v>
      </c>
      <c r="L69" s="123">
        <f t="shared" ref="L69" si="138">+L68-L21</f>
        <v>0</v>
      </c>
      <c r="M69" s="123">
        <f t="shared" ref="M69" si="139">+M68-M21</f>
        <v>0</v>
      </c>
      <c r="N69" s="123">
        <f t="shared" ref="N69" si="140">+N68-N21</f>
        <v>0</v>
      </c>
    </row>
    <row r="70" spans="1:15" x14ac:dyDescent="0.3">
      <c r="A70" s="51" t="s">
        <v>196</v>
      </c>
      <c r="B70" s="48">
        <f>B32+B36+B37-B21-B22</f>
        <v>-4664</v>
      </c>
      <c r="C70" s="48">
        <f t="shared" ref="C70:N70" si="141">C32+C36+C37-C21-C22</f>
        <v>-3402</v>
      </c>
      <c r="D70" s="48">
        <f t="shared" si="141"/>
        <v>-2377</v>
      </c>
      <c r="E70" s="48">
        <f t="shared" si="141"/>
        <v>-1435</v>
      </c>
      <c r="F70" s="48">
        <f t="shared" si="141"/>
        <v>-1184</v>
      </c>
      <c r="G70" s="48">
        <f t="shared" si="141"/>
        <v>3783</v>
      </c>
      <c r="H70" s="48">
        <f t="shared" si="141"/>
        <v>-1130</v>
      </c>
      <c r="I70" s="48">
        <f t="shared" si="141"/>
        <v>-790</v>
      </c>
      <c r="J70" s="48">
        <f t="shared" si="141"/>
        <v>-915.24529816409267</v>
      </c>
      <c r="K70" s="48">
        <f t="shared" si="141"/>
        <v>-551.83807081971463</v>
      </c>
      <c r="L70" s="48">
        <f t="shared" si="141"/>
        <v>825.25734514989927</v>
      </c>
      <c r="M70" s="48">
        <f t="shared" si="141"/>
        <v>2301.4867173745915</v>
      </c>
      <c r="N70" s="48">
        <f t="shared" si="141"/>
        <v>3995.9090962255741</v>
      </c>
    </row>
    <row r="72" spans="1:15" x14ac:dyDescent="0.3">
      <c r="A72" s="50" t="s">
        <v>206</v>
      </c>
      <c r="B72" s="68">
        <v>112.69333115384613</v>
      </c>
      <c r="J72" s="50">
        <v>110.38</v>
      </c>
      <c r="K72" s="50">
        <v>112.69</v>
      </c>
      <c r="L72" s="65">
        <v>112.69</v>
      </c>
      <c r="M72" s="65">
        <v>112.69</v>
      </c>
      <c r="N72" s="65">
        <v>112.69</v>
      </c>
    </row>
    <row r="75" spans="1:15" x14ac:dyDescent="0.3">
      <c r="O75" s="66" t="s">
        <v>230</v>
      </c>
    </row>
    <row r="76" spans="1:15" x14ac:dyDescent="0.3">
      <c r="O76" s="50" t="s">
        <v>231</v>
      </c>
    </row>
    <row r="77" spans="1:15" x14ac:dyDescent="0.3">
      <c r="O77" s="50" t="s">
        <v>232</v>
      </c>
    </row>
    <row r="78" spans="1:15" x14ac:dyDescent="0.3">
      <c r="O78" s="50" t="s">
        <v>233</v>
      </c>
    </row>
    <row r="79" spans="1:15" x14ac:dyDescent="0.3">
      <c r="O79" s="50" t="s">
        <v>234</v>
      </c>
    </row>
    <row r="80" spans="1:15" x14ac:dyDescent="0.3">
      <c r="O80" s="50" t="s">
        <v>235</v>
      </c>
    </row>
    <row r="81" spans="15:15" x14ac:dyDescent="0.3">
      <c r="O81" s="50" t="s">
        <v>236</v>
      </c>
    </row>
    <row r="82" spans="15:15" x14ac:dyDescent="0.3">
      <c r="O82" s="50" t="s">
        <v>237</v>
      </c>
    </row>
    <row r="83" spans="15:15" x14ac:dyDescent="0.3">
      <c r="O83" s="50" t="s">
        <v>238</v>
      </c>
    </row>
    <row r="84" spans="15:15" x14ac:dyDescent="0.3">
      <c r="O84" s="50" t="s">
        <v>239</v>
      </c>
    </row>
    <row r="85" spans="15:15" x14ac:dyDescent="0.3">
      <c r="O85" s="50" t="s">
        <v>240</v>
      </c>
    </row>
    <row r="86" spans="15:15" s="65" customFormat="1" x14ac:dyDescent="0.3">
      <c r="O86" s="65" t="s">
        <v>241</v>
      </c>
    </row>
    <row r="87" spans="15:15" s="65" customFormat="1" x14ac:dyDescent="0.3">
      <c r="O87" s="65" t="s">
        <v>242</v>
      </c>
    </row>
    <row r="88" spans="15:15" s="65" customFormat="1" x14ac:dyDescent="0.3">
      <c r="O88" s="65" t="s">
        <v>243</v>
      </c>
    </row>
    <row r="89" spans="15:15" s="65" customFormat="1" x14ac:dyDescent="0.3">
      <c r="O89" s="65" t="s">
        <v>244</v>
      </c>
    </row>
    <row r="91" spans="15:15" x14ac:dyDescent="0.3">
      <c r="O91" s="50" t="s">
        <v>217</v>
      </c>
    </row>
    <row r="92" spans="15:15" x14ac:dyDescent="0.3">
      <c r="O92" s="50" t="s">
        <v>218</v>
      </c>
    </row>
    <row r="93" spans="15:15" x14ac:dyDescent="0.3">
      <c r="O93" s="50" t="s">
        <v>219</v>
      </c>
    </row>
    <row r="94" spans="15:15" x14ac:dyDescent="0.3">
      <c r="O94" s="50" t="s">
        <v>220</v>
      </c>
    </row>
    <row r="95" spans="15:15" x14ac:dyDescent="0.3">
      <c r="O95" s="50" t="s">
        <v>221</v>
      </c>
    </row>
    <row r="96" spans="15:15" x14ac:dyDescent="0.3">
      <c r="O96" s="50" t="s">
        <v>222</v>
      </c>
    </row>
    <row r="97" spans="15:15" x14ac:dyDescent="0.3">
      <c r="O97" s="50" t="s">
        <v>223</v>
      </c>
    </row>
    <row r="98" spans="15:15" x14ac:dyDescent="0.3">
      <c r="O98" s="50" t="s">
        <v>224</v>
      </c>
    </row>
    <row r="99" spans="15:15" x14ac:dyDescent="0.3">
      <c r="O99" s="50" t="s">
        <v>225</v>
      </c>
    </row>
    <row r="100" spans="15:15" x14ac:dyDescent="0.3">
      <c r="O100" s="50" t="s">
        <v>283</v>
      </c>
    </row>
    <row r="101" spans="15:15" x14ac:dyDescent="0.3">
      <c r="O101" s="66" t="s">
        <v>284</v>
      </c>
    </row>
    <row r="102" spans="15:15" x14ac:dyDescent="0.3">
      <c r="O102" s="66" t="s">
        <v>226</v>
      </c>
    </row>
    <row r="103" spans="15:15" x14ac:dyDescent="0.3">
      <c r="O103" s="66" t="s">
        <v>227</v>
      </c>
    </row>
    <row r="104" spans="15:15" x14ac:dyDescent="0.3">
      <c r="O104" s="66" t="s">
        <v>228</v>
      </c>
    </row>
    <row r="105" spans="15:15" x14ac:dyDescent="0.3">
      <c r="O105" s="66" t="s">
        <v>229</v>
      </c>
    </row>
    <row r="107" spans="15:15" x14ac:dyDescent="0.3">
      <c r="O107" s="66" t="s">
        <v>267</v>
      </c>
    </row>
    <row r="108" spans="15:15" x14ac:dyDescent="0.3">
      <c r="O108" s="50" t="s">
        <v>245</v>
      </c>
    </row>
    <row r="109" spans="15:15" x14ac:dyDescent="0.3">
      <c r="O109" s="50" t="s">
        <v>246</v>
      </c>
    </row>
    <row r="110" spans="15:15" x14ac:dyDescent="0.3">
      <c r="O110" s="50" t="s">
        <v>247</v>
      </c>
    </row>
    <row r="111" spans="15:15" x14ac:dyDescent="0.3">
      <c r="O111" s="50" t="s">
        <v>248</v>
      </c>
    </row>
    <row r="112" spans="15:15" x14ac:dyDescent="0.3">
      <c r="O112" s="50" t="s">
        <v>249</v>
      </c>
    </row>
    <row r="113" spans="15:15" x14ac:dyDescent="0.3">
      <c r="O113" s="50" t="s">
        <v>250</v>
      </c>
    </row>
    <row r="114" spans="15:15" x14ac:dyDescent="0.3">
      <c r="O114" s="50" t="s">
        <v>251</v>
      </c>
    </row>
    <row r="115" spans="15:15" x14ac:dyDescent="0.3">
      <c r="O115" s="50" t="s">
        <v>252</v>
      </c>
    </row>
    <row r="116" spans="15:15" x14ac:dyDescent="0.3">
      <c r="O116" s="50" t="s">
        <v>253</v>
      </c>
    </row>
    <row r="117" spans="15:15" x14ac:dyDescent="0.3">
      <c r="O117" s="50" t="s">
        <v>254</v>
      </c>
    </row>
    <row r="118" spans="15:15" x14ac:dyDescent="0.3">
      <c r="O118" s="50" t="s">
        <v>255</v>
      </c>
    </row>
    <row r="119" spans="15:15" x14ac:dyDescent="0.3">
      <c r="O119" s="50" t="s">
        <v>256</v>
      </c>
    </row>
    <row r="120" spans="15:15" x14ac:dyDescent="0.3">
      <c r="O120" s="50" t="s">
        <v>257</v>
      </c>
    </row>
    <row r="121" spans="15:15" x14ac:dyDescent="0.3">
      <c r="O121" s="50" t="s">
        <v>258</v>
      </c>
    </row>
    <row r="122" spans="15:15" x14ac:dyDescent="0.3">
      <c r="O122" s="50" t="s">
        <v>259</v>
      </c>
    </row>
    <row r="123" spans="15:15" x14ac:dyDescent="0.3">
      <c r="O123" s="50" t="s">
        <v>260</v>
      </c>
    </row>
    <row r="124" spans="15:15" x14ac:dyDescent="0.3">
      <c r="O124" s="50" t="s">
        <v>261</v>
      </c>
    </row>
    <row r="125" spans="15:15" x14ac:dyDescent="0.3">
      <c r="O125" s="50" t="s">
        <v>262</v>
      </c>
    </row>
    <row r="126" spans="15:15" x14ac:dyDescent="0.3">
      <c r="O126" s="50" t="s">
        <v>263</v>
      </c>
    </row>
    <row r="127" spans="15:15" x14ac:dyDescent="0.3">
      <c r="O127" s="50" t="s">
        <v>264</v>
      </c>
    </row>
    <row r="128" spans="15:15" x14ac:dyDescent="0.3">
      <c r="O128" s="50" t="s">
        <v>265</v>
      </c>
    </row>
    <row r="129" spans="15:15" x14ac:dyDescent="0.3">
      <c r="O129" s="50" t="s">
        <v>266</v>
      </c>
    </row>
    <row r="132" spans="15:15" x14ac:dyDescent="0.3">
      <c r="O132" s="50" t="s">
        <v>268</v>
      </c>
    </row>
    <row r="133" spans="15:15" x14ac:dyDescent="0.3">
      <c r="O133" s="50" t="s">
        <v>269</v>
      </c>
    </row>
    <row r="134" spans="15:15" x14ac:dyDescent="0.3">
      <c r="O134" s="50" t="s">
        <v>270</v>
      </c>
    </row>
    <row r="135" spans="15:15" x14ac:dyDescent="0.3">
      <c r="O135" s="50" t="s">
        <v>271</v>
      </c>
    </row>
    <row r="136" spans="15:15" x14ac:dyDescent="0.3">
      <c r="O136" s="50" t="s">
        <v>272</v>
      </c>
    </row>
    <row r="137" spans="15:15" x14ac:dyDescent="0.3">
      <c r="O137" s="50" t="s">
        <v>273</v>
      </c>
    </row>
    <row r="138" spans="15:15" x14ac:dyDescent="0.3">
      <c r="O138" s="50" t="s">
        <v>274</v>
      </c>
    </row>
    <row r="139" spans="15:15" x14ac:dyDescent="0.3">
      <c r="O139" s="50" t="s">
        <v>275</v>
      </c>
    </row>
  </sheetData>
  <phoneticPr fontId="3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Harsha</cp:lastModifiedBy>
  <dcterms:created xsi:type="dcterms:W3CDTF">2020-05-20T17:26:08Z</dcterms:created>
  <dcterms:modified xsi:type="dcterms:W3CDTF">2024-04-21T20:01:11Z</dcterms:modified>
</cp:coreProperties>
</file>