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jadhassanieh/Downloads/"/>
    </mc:Choice>
  </mc:AlternateContent>
  <xr:revisionPtr revIDLastSave="0" documentId="8_{03272D68-284E-9D45-983E-E31C40E82B4E}" xr6:coauthVersionLast="47" xr6:coauthVersionMax="47" xr10:uidLastSave="{00000000-0000-0000-0000-000000000000}"/>
  <bookViews>
    <workbookView xWindow="17860" yWindow="780" windowWidth="16340" windowHeight="19800" xr2:uid="{00000000-000D-0000-FFFF-FFFF00000000}"/>
  </bookViews>
  <sheets>
    <sheet name="Instructions" sheetId="2" r:id="rId1"/>
    <sheet name="List of Ratios" sheetId="3" r:id="rId2"/>
    <sheet name="Financial Statement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" l="1"/>
  <c r="C45" i="3"/>
  <c r="C46" i="3"/>
  <c r="D41" i="3"/>
  <c r="E41" i="3"/>
  <c r="C41" i="3"/>
  <c r="D44" i="3"/>
  <c r="E44" i="3"/>
  <c r="C44" i="3"/>
  <c r="C29" i="3"/>
  <c r="D29" i="3"/>
  <c r="E29" i="3"/>
  <c r="C30" i="3"/>
  <c r="D90" i="3"/>
  <c r="E90" i="3"/>
  <c r="D91" i="3"/>
  <c r="E91" i="3"/>
  <c r="D92" i="3"/>
  <c r="E92" i="3"/>
  <c r="D93" i="3"/>
  <c r="E93" i="3"/>
  <c r="D88" i="3"/>
  <c r="E88" i="3"/>
  <c r="D87" i="3"/>
  <c r="E87" i="3"/>
  <c r="E98" i="3"/>
  <c r="E97" i="3"/>
  <c r="E96" i="3"/>
  <c r="D64" i="3"/>
  <c r="C64" i="3"/>
  <c r="D63" i="3"/>
  <c r="C63" i="3"/>
  <c r="D60" i="3"/>
  <c r="C60" i="3"/>
  <c r="D59" i="3"/>
  <c r="C59" i="3"/>
  <c r="D98" i="3"/>
  <c r="C98" i="3"/>
  <c r="D97" i="3"/>
  <c r="C97" i="3"/>
  <c r="D96" i="3"/>
  <c r="C96" i="3"/>
  <c r="C87" i="3"/>
  <c r="C93" i="3"/>
  <c r="C92" i="3"/>
  <c r="C91" i="3"/>
  <c r="C90" i="3"/>
  <c r="C88" i="3"/>
  <c r="D84" i="3"/>
  <c r="C84" i="3"/>
  <c r="D82" i="3"/>
  <c r="D81" i="3"/>
  <c r="C82" i="3"/>
  <c r="C81" i="3"/>
  <c r="D79" i="3"/>
  <c r="C79" i="3"/>
  <c r="D78" i="3"/>
  <c r="C78" i="3"/>
  <c r="D76" i="3"/>
  <c r="C76" i="3"/>
  <c r="D75" i="3"/>
  <c r="C75" i="3"/>
  <c r="D74" i="3"/>
  <c r="C74" i="3"/>
  <c r="D73" i="3"/>
  <c r="C73" i="3"/>
  <c r="D70" i="3"/>
  <c r="C70" i="3"/>
  <c r="D69" i="3"/>
  <c r="C69" i="3"/>
  <c r="D67" i="3"/>
  <c r="C67" i="3"/>
  <c r="D66" i="3"/>
  <c r="C66" i="3"/>
  <c r="D65" i="3"/>
  <c r="C65" i="3"/>
  <c r="D61" i="3"/>
  <c r="C61" i="3"/>
  <c r="D51" i="3"/>
  <c r="E51" i="3"/>
  <c r="C51" i="3"/>
  <c r="E46" i="3"/>
  <c r="D45" i="3"/>
  <c r="E45" i="3"/>
  <c r="D31" i="3"/>
  <c r="D30" i="3" s="1"/>
  <c r="E31" i="3"/>
  <c r="E30" i="3" s="1"/>
  <c r="C31" i="3"/>
  <c r="D8" i="3"/>
  <c r="E8" i="3"/>
  <c r="C8" i="3"/>
  <c r="D27" i="3"/>
  <c r="E27" i="3"/>
  <c r="C27" i="3"/>
  <c r="C14" i="3"/>
  <c r="C13" i="3" s="1"/>
  <c r="D14" i="3"/>
  <c r="D13" i="3" s="1"/>
  <c r="E14" i="3"/>
  <c r="E13" i="3" s="1"/>
  <c r="D10" i="3"/>
  <c r="E10" i="3"/>
  <c r="C10" i="3"/>
  <c r="D11" i="3"/>
  <c r="D12" i="3" s="1"/>
  <c r="E11" i="3"/>
  <c r="E12" i="3" s="1"/>
  <c r="C11" i="3"/>
  <c r="D9" i="3"/>
  <c r="E9" i="3"/>
  <c r="C9" i="3"/>
  <c r="C12" i="3" s="1"/>
  <c r="D49" i="3"/>
  <c r="E49" i="3"/>
  <c r="C49" i="3"/>
  <c r="D47" i="3"/>
  <c r="E47" i="3"/>
  <c r="C47" i="3"/>
  <c r="D43" i="3"/>
  <c r="E43" i="3"/>
  <c r="C43" i="3"/>
  <c r="D42" i="3"/>
  <c r="E42" i="3"/>
  <c r="C42" i="3"/>
  <c r="D40" i="3"/>
  <c r="E40" i="3"/>
  <c r="D37" i="3"/>
  <c r="E37" i="3"/>
  <c r="C37" i="3"/>
  <c r="D36" i="3"/>
  <c r="E36" i="3"/>
  <c r="C36" i="3"/>
  <c r="D35" i="3"/>
  <c r="E35" i="3"/>
  <c r="C35" i="3"/>
  <c r="D34" i="3"/>
  <c r="E34" i="3"/>
  <c r="C34" i="3"/>
  <c r="C40" i="3"/>
  <c r="D46" i="3" l="1"/>
  <c r="D18" i="3"/>
  <c r="E18" i="3"/>
  <c r="E19" i="3" s="1"/>
  <c r="E50" i="3" s="1"/>
  <c r="C18" i="3"/>
  <c r="C50" i="3" s="1"/>
  <c r="D19" i="3"/>
  <c r="D50" i="3" s="1"/>
  <c r="D26" i="3"/>
  <c r="E26" i="3"/>
  <c r="C26" i="3"/>
  <c r="D25" i="3"/>
  <c r="E25" i="3"/>
  <c r="C25" i="3"/>
  <c r="B12" i="1"/>
  <c r="B18" i="1"/>
  <c r="B20" i="1"/>
  <c r="D22" i="3"/>
  <c r="E22" i="3"/>
  <c r="C22" i="3"/>
  <c r="E21" i="3"/>
  <c r="C20" i="3"/>
  <c r="C21" i="3" s="1"/>
  <c r="D20" i="3"/>
  <c r="D21" i="3" s="1"/>
  <c r="E20" i="3"/>
  <c r="D17" i="3"/>
  <c r="E17" i="3"/>
  <c r="C17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D28" i="3" l="1"/>
  <c r="D48" i="3"/>
  <c r="E48" i="3"/>
  <c r="E28" i="3"/>
  <c r="C48" i="3"/>
  <c r="C28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22" i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<sst xmlns="http://schemas.openxmlformats.org/spreadsheetml/2006/main" count="215" uniqueCount="154">
  <si>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</si>
  <si>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</si>
  <si>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</si>
  <si>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</si>
  <si>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</si>
  <si>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</si>
  <si>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</si>
  <si>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</si>
  <si>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</si>
  <si>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</si>
  <si>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</si>
  <si>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</si>
  <si>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</si>
  <si>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</si>
  <si>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</si>
  <si>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</si>
  <si>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</si>
  <si>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</si>
  <si>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</si>
  <si>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</si>
  <si>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</si>
  <si>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</si>
  <si>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</si>
  <si>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</si>
  <si>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</si>
  <si>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</si>
  <si>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</si>
  <si>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</si>
  <si>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</si>
  <si>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</si>
  <si>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</si>
  <si>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</si>
  <si>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</si>
  <si>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</si>
  <si>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</si>
  <si>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</si>
  <si>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</si>
  <si>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</si>
  <si>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</si>
  <si>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</si>
  <si>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</si>
  <si>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</si>
  <si>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</si>
  <si>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</si>
  <si>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</si>
  <si>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</si>
  <si>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</si>
  <si>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</si>
  <si>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</si>
  <si>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</si>
  <si>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</si>
  <si>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</si>
  <si>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</si>
  <si>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</si>
  <si>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</si>
  <si>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</si>
  <si>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</si>
  <si>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</si>
  <si>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</si>
  <si>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</si>
  <si>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</si>
  <si>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</si>
  <si>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</si>
  <si>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</si>
  <si>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</si>
  <si>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</si>
  <si>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</si>
  <si>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</si>
  <si>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</si>
  <si>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</si>
  <si>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</si>
  <si>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</si>
  <si>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</si>
  <si>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</si>
  <si>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</si>
  <si>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</si>
  <si>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</si>
  <si>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</si>
  <si>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</si>
  <si>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</si>
  <si>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</si>
  <si>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</si>
  <si>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</si>
  <si>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</si>
  <si>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</si>
  <si>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</si>
  <si>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</si>
  <si>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</si>
  <si>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</si>
  <si>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</si>
  <si>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</si>
  <si>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</si>
  <si>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</si>
  <si>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</si>
  <si>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</si>
  <si>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</si>
  <si>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</si>
  <si>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</si>
  <si>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</si>
  <si>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</si>
  <si>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</si>
  <si>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</si>
  <si>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</si>
  <si>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</si>
  <si>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</si>
  <si>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</si>
  <si>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</si>
  <si>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</si>
  <si>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</si>
  <si>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</si>
  <si>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</si>
  <si>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</si>
  <si>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</si>
  <si>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</si>
  <si>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</si>
  <si>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</si>
  <si>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</si>
  <si>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</si>
  <si>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</si>
  <si>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</si>
  <si>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</si>
  <si>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</si>
  <si>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</si>
  <si>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</si>
  <si>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</si>
  <si>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</si>
  <si>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</si>
  <si>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</si>
  <si>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</si>
  <si>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</si>
  <si>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</si>
  <si>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</si>
  <si>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</si>
  <si>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</si>
  <si>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</si>
  <si>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</si>
  <si>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</si>
  <si>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</si>
  <si>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</si>
  <si>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</si>
  <si>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</si>
  <si>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</si>
  <si>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</si>
  <si>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</si>
  <si>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</si>
  <si>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</si>
  <si>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</si>
  <si>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</si>
  <si>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</si>
  <si>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</si>
  <si>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Market Price</t>
  </si>
  <si>
    <t>Calculate the growth rates for the following:</t>
  </si>
  <si>
    <t>Calculate margins/ as a % of net sales for the following:</t>
  </si>
  <si>
    <t>Non Current assets: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</si>
</sst>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74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4" applyFont="1"/>
    <xf numFmtId="0" fontId="0" fillId="0" borderId="0" xfId="4" applyNumberFormat="1" applyFont="1"/>
    <xf numFmtId="164" fontId="0" fillId="0" borderId="0" xfId="0" applyNumberFormat="1"/>
    <xf numFmtId="0" fontId="0" fillId="0" borderId="0" xfId="0" applyNumberFormat="1"/>
    <xf numFmtId="174" fontId="0" fillId="0" borderId="0" xfId="3" applyNumberFormat="1" applyFont="1"/>
    <xf numFmtId="174" fontId="0" fillId="0" borderId="0" xfId="0" applyNumberFormat="1"/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top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 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abSelected="1" workbookViewId="0">
      <selection activeCell="A28" sqref="A28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8"/>
  <sheetViews>
    <sheetView topLeftCell="A59" workbookViewId="0">
      <selection activeCell="C19" sqref="C19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15.6640625" bestFit="1" customWidth="1"/>
    <col min="8" max="8" width="21.1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3" t="s">
        <v>23</v>
      </c>
      <c r="D2" s="23"/>
      <c r="E2" s="23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5">
        <f>('Financial Statements'!B36+'Financial Statements'!B38)/'Financial Statements'!B56</f>
        <v>0.33659778415658975</v>
      </c>
      <c r="D6" s="25">
        <f>('Financial Statements'!C36+'Financial Statements'!C38)/'Financial Statements'!C56</f>
        <v>0.48786668898080188</v>
      </c>
      <c r="E6" s="25">
        <f>('Financial Statements'!D36+'Financial Statements'!D38)/'Financial Statements'!D56</f>
        <v>0.51366327614999241</v>
      </c>
    </row>
    <row r="7" spans="1:10" x14ac:dyDescent="0.2">
      <c r="A7" s="18">
        <f t="shared" si="0"/>
        <v>1.3000000000000003</v>
      </c>
      <c r="B7" s="1" t="s">
        <v>102</v>
      </c>
      <c r="C7" s="25">
        <f>('Financial Statements'!B36)/'Financial Statements'!B56</f>
        <v>0.15356340351469652</v>
      </c>
      <c r="D7" s="25">
        <f>('Financial Statements'!C36)/'Financial Statements'!C56</f>
        <v>0.27844853005634318</v>
      </c>
      <c r="E7" s="25">
        <f>('Financial Statements'!D36)/'Financial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>
        <f>'Financial Statements'!B42/(('Financial Statements'!B56-'Financial Statements'!B79)/365)</f>
        <v>345.90927224625204</v>
      </c>
      <c r="D8">
        <f>'Financial Statements'!C42/(('Financial Statements'!C56-'Financial Statements'!C79)/365)</f>
        <v>430.96701314395301</v>
      </c>
      <c r="E8">
        <f>'Financial Statements'!D42/(('Financial Statements'!D56-'Financial Statements'!D79)/365)</f>
        <v>556.04694920284942</v>
      </c>
    </row>
    <row r="9" spans="1:10" x14ac:dyDescent="0.2">
      <c r="A9" s="18">
        <f t="shared" si="0"/>
        <v>1.5000000000000004</v>
      </c>
      <c r="B9" s="1" t="s">
        <v>104</v>
      </c>
      <c r="C9">
        <f>(('Financial Statements'!B39+'Financial Statements'!C39)/2)/('Financial Statements'!B10)*365</f>
        <v>10.440683770865286</v>
      </c>
      <c r="D9">
        <f>(('Financial Statements'!C39+'Financial Statements'!D39)/2)/('Financial Statements'!C10)*365</f>
        <v>10.100498788137267</v>
      </c>
      <c r="E9">
        <f>(('Financial Statements'!D39+'Financial Statements'!E39)/2)/('Financial Statements'!D10)*365</f>
        <v>4.898883571513557</v>
      </c>
    </row>
    <row r="10" spans="1:10" x14ac:dyDescent="0.2">
      <c r="A10" s="18">
        <f t="shared" si="0"/>
        <v>1.6000000000000005</v>
      </c>
      <c r="B10" s="1" t="s">
        <v>105</v>
      </c>
      <c r="C10">
        <f>('Financial Statements'!B51/'Financial Statements'!B12)*365</f>
        <v>104.68527730310539</v>
      </c>
      <c r="D10">
        <f>('Financial Statements'!C51/'Financial Statements'!C12)*365</f>
        <v>93.851071222315596</v>
      </c>
      <c r="E10">
        <f>('Financial Statements'!D51/'Financial Statements'!D12)*365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>
        <f>('Financial Statements'!B38/'Financial Statements'!B8)*365</f>
        <v>26.087825363656648</v>
      </c>
      <c r="D11">
        <f>('Financial Statements'!C38/'Financial Statements'!C8)*365</f>
        <v>26.219311841713207</v>
      </c>
      <c r="E11">
        <f>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>
        <f>C11+C9-C10</f>
        <v>-68.156768168583454</v>
      </c>
      <c r="D12">
        <f t="shared" ref="D12:E12" si="1">D11+D9-D10</f>
        <v>-57.531260592465124</v>
      </c>
      <c r="E12">
        <f t="shared" si="1"/>
        <v>-64.715868991363891</v>
      </c>
    </row>
    <row r="13" spans="1:10" x14ac:dyDescent="0.2">
      <c r="A13" s="18">
        <f t="shared" si="0"/>
        <v>1.9000000000000008</v>
      </c>
      <c r="B13" s="1" t="s">
        <v>108</v>
      </c>
      <c r="C13" s="25">
        <f>(C14/'Financial Statements'!B13)</f>
        <v>-0.10877610052581654</v>
      </c>
      <c r="D13" s="25">
        <f>(D14/'Financial Statements'!C13)</f>
        <v>6.120940092648329E-2</v>
      </c>
      <c r="E13" s="25">
        <f>(E14/'Financial Statements'!D13)</f>
        <v>0.36511490529364687</v>
      </c>
    </row>
    <row r="14" spans="1:10" x14ac:dyDescent="0.2">
      <c r="A14" s="18"/>
      <c r="B14" s="3" t="s">
        <v>109</v>
      </c>
      <c r="C14" s="30">
        <f>'Financial Statements'!B42-'Financial Statements'!B56</f>
        <v>-18577</v>
      </c>
      <c r="D14" s="30">
        <f>'Financial Statements'!C42-'Financial Statements'!C56</f>
        <v>9355</v>
      </c>
      <c r="E14" s="30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6" x14ac:dyDescent="0.2">
      <c r="A17" s="18">
        <f>+A16+0.1</f>
        <v>2.1</v>
      </c>
      <c r="B17" s="1" t="s">
        <v>9</v>
      </c>
      <c r="C17">
        <f>'Financial Statements'!B13</f>
        <v>170782</v>
      </c>
      <c r="D17">
        <f>'Financial Statements'!C13</f>
        <v>152836</v>
      </c>
      <c r="E17">
        <f>'Financial Statements'!D13</f>
        <v>104956</v>
      </c>
    </row>
    <row r="18" spans="1:6" x14ac:dyDescent="0.2">
      <c r="A18" s="18">
        <f>+A17+0.1</f>
        <v>2.2000000000000002</v>
      </c>
      <c r="B18" s="1" t="s">
        <v>111</v>
      </c>
      <c r="C18" s="25">
        <f>('Financial Statements'!B79+'Financial Statements'!B20)/'Financial Statements'!B8</f>
        <v>0.33019973220263332</v>
      </c>
      <c r="D18" s="25">
        <f>('Financial Statements'!C79+'Financial Statements'!C20)/'Financial Statements'!C8</f>
        <v>0.32937507004868555</v>
      </c>
      <c r="E18" s="25">
        <f>('Financial Statements'!D79+'Financial Statements'!D20)/'Financial Statements'!D8</f>
        <v>0.28467296869023551</v>
      </c>
      <c r="F18" s="26"/>
    </row>
    <row r="19" spans="1:6" x14ac:dyDescent="0.2">
      <c r="A19" s="18"/>
      <c r="B19" s="3" t="s">
        <v>112</v>
      </c>
      <c r="C19">
        <f>C18*'Financial Statements'!B8</f>
        <v>130207</v>
      </c>
      <c r="D19">
        <f>D18*'Financial Statements'!C8</f>
        <v>120491</v>
      </c>
      <c r="E19">
        <f>E18*'Financial Statements'!D8</f>
        <v>78147</v>
      </c>
    </row>
    <row r="20" spans="1:6" x14ac:dyDescent="0.2">
      <c r="A20" s="18">
        <f>+A18+0.1</f>
        <v>2.3000000000000003</v>
      </c>
      <c r="B20" s="1" t="s">
        <v>113</v>
      </c>
      <c r="C20" s="25">
        <f>'Financial Statements'!B18/(('Financial Statements'!B8)*100%)</f>
        <v>0.30288744395528594</v>
      </c>
      <c r="D20" s="25">
        <f>'Financial Statements'!C18/('Financial Statements'!C8*100%)</f>
        <v>0.29782377527561593</v>
      </c>
      <c r="E20" s="25">
        <f>'Financial Statements'!D18/('Financial Statements'!D8*100%)</f>
        <v>0.24147314354406862</v>
      </c>
    </row>
    <row r="21" spans="1:6" x14ac:dyDescent="0.2">
      <c r="A21" s="18"/>
      <c r="B21" s="3" t="s">
        <v>114</v>
      </c>
      <c r="C21">
        <f>C20*'Financial Statements'!B8</f>
        <v>119437</v>
      </c>
      <c r="D21">
        <f>D20*'Financial Statements'!C8</f>
        <v>108949</v>
      </c>
      <c r="E21">
        <f>E20*'Financial Statements'!D8</f>
        <v>66288</v>
      </c>
    </row>
    <row r="22" spans="1:6" x14ac:dyDescent="0.2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</row>
    <row r="23" spans="1:6" x14ac:dyDescent="0.2">
      <c r="A23" s="18"/>
    </row>
    <row r="24" spans="1:6" x14ac:dyDescent="0.2">
      <c r="A24" s="18">
        <f>+A16+1</f>
        <v>3</v>
      </c>
      <c r="B24" s="7" t="s">
        <v>116</v>
      </c>
    </row>
    <row r="25" spans="1:6" x14ac:dyDescent="0.2">
      <c r="A25" s="18">
        <f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</row>
    <row r="26" spans="1:6" x14ac:dyDescent="0.2">
      <c r="A26" s="18">
        <f t="shared" ref="A26:A30" si="2">+A25+0.1</f>
        <v>3.2</v>
      </c>
      <c r="B26" s="1" t="s">
        <v>118</v>
      </c>
      <c r="C26" s="25">
        <f>'Financial Statements'!B62/'Financial Statements'!B48</f>
        <v>0.85635355983614692</v>
      </c>
      <c r="D26" s="25">
        <f>'Financial Statements'!C62/'Financial Statements'!C48</f>
        <v>0.82025743443057308</v>
      </c>
      <c r="E26" s="25">
        <f>'Financial Statements'!D62/'Financial Statements'!D48</f>
        <v>0.79826668477992391</v>
      </c>
    </row>
    <row r="27" spans="1:6" x14ac:dyDescent="0.2">
      <c r="A27" s="18">
        <f t="shared" si="2"/>
        <v>3.3000000000000003</v>
      </c>
      <c r="B27" s="1" t="s">
        <v>119</v>
      </c>
      <c r="C27" s="25">
        <f>'Financial Statements'!B61/('Financial Statements'!B61+'Financial Statements'!B68)</f>
        <v>0.74507604151469264</v>
      </c>
      <c r="D27" s="25">
        <f>'Financial Statements'!C61/('Financial Statements'!C61+'Financial Statements'!C68)</f>
        <v>0.72024778180302496</v>
      </c>
      <c r="E27" s="25">
        <f>'Financial Statements'!D61/('Financial Statements'!D61+'Financial Statements'!D68)</f>
        <v>0.70096020064440534</v>
      </c>
    </row>
    <row r="28" spans="1:6" x14ac:dyDescent="0.2">
      <c r="A28" s="18">
        <f t="shared" si="2"/>
        <v>3.4000000000000004</v>
      </c>
      <c r="B28" s="1" t="s">
        <v>120</v>
      </c>
      <c r="C28" s="28">
        <f>C21/'Financial Statements'!B114</f>
        <v>41.68830715532286</v>
      </c>
      <c r="D28" s="28">
        <f>D21/'Financial Statements'!C114</f>
        <v>40.546706363974693</v>
      </c>
      <c r="E28" s="28">
        <f>E21/'Financial Statements'!D114</f>
        <v>22.081279147235175</v>
      </c>
    </row>
    <row r="29" spans="1:6" ht="16" customHeight="1" x14ac:dyDescent="0.2">
      <c r="A29" s="18">
        <f t="shared" si="2"/>
        <v>3.5000000000000004</v>
      </c>
      <c r="B29" s="1" t="s">
        <v>121</v>
      </c>
      <c r="C29">
        <f>'Financial Statements'!B18/('Financial Statements'!B101+'Financial Statements'!B102+'Financial Statements'!B103+'Financial Statements'!B105+'Financial Statements'!B107)</f>
        <v>-0.99390857875159155</v>
      </c>
      <c r="D29">
        <f>'Financial Statements'!C18/('Financial Statements'!C101+'Financial Statements'!C102+'Financial Statements'!C103+'Financial Statements'!C105+'Financial Statements'!C107)</f>
        <v>-0.94929771364840376</v>
      </c>
      <c r="E29">
        <f>'Financial Statements'!D18/('Financial Statements'!D101+'Financial Statements'!D102+'Financial Statements'!D103+'Financial Statements'!D105+'Financial Statements'!D107)</f>
        <v>-0.65021383450386472</v>
      </c>
    </row>
    <row r="30" spans="1:6" x14ac:dyDescent="0.2">
      <c r="A30" s="18">
        <f t="shared" si="2"/>
        <v>3.6000000000000005</v>
      </c>
      <c r="B30" s="1" t="s">
        <v>122</v>
      </c>
      <c r="C30">
        <f>C31/4754986</f>
        <v>2.7940986577037242E-2</v>
      </c>
      <c r="D30">
        <f t="shared" ref="D30:E30" si="3">D31/4754986</f>
        <v>2.421100714071503E-2</v>
      </c>
      <c r="E30">
        <f t="shared" si="3"/>
        <v>1.8503314205341508E-2</v>
      </c>
    </row>
    <row r="31" spans="1:6" x14ac:dyDescent="0.2">
      <c r="A31" s="18"/>
      <c r="B31" s="3" t="s">
        <v>123</v>
      </c>
      <c r="C31">
        <f>'Financial Statements'!B91-'Financial Statements'!B96</f>
        <v>132859</v>
      </c>
      <c r="D31">
        <f>'Financial Statements'!C91-'Financial Statements'!C96</f>
        <v>115123</v>
      </c>
      <c r="E31">
        <f>'Financial Statements'!D91-'Financial Statements'!D96</f>
        <v>87983</v>
      </c>
    </row>
    <row r="32" spans="1:6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 s="25">
        <f>'Financial Statements'!B8/('Financial Statements'!B48+'Financial Statements'!C48)/2</f>
        <v>0.28015920267933392</v>
      </c>
      <c r="D34" s="25">
        <f>'Financial Statements'!C8/('Financial Statements'!C48+'Financial Statements'!D48)/2</f>
        <v>0.2710197217324305</v>
      </c>
      <c r="E34" s="25">
        <f>'Financial Statements'!D8/('Financial Statements'!D48+'Financial Statements'!E48)/2</f>
        <v>0.42378075137084426</v>
      </c>
    </row>
    <row r="35" spans="1:5" x14ac:dyDescent="0.2">
      <c r="A35" s="18">
        <f t="shared" ref="A35:A37" si="4">+A34+0.1</f>
        <v>4.1999999999999993</v>
      </c>
      <c r="B35" s="1" t="s">
        <v>126</v>
      </c>
      <c r="C35">
        <f>'Financial Statements'!B8/(('Financial Statements'!B45+'Financial Statements'!C45)/2)</f>
        <v>9.6699976703409884</v>
      </c>
      <c r="D35">
        <f>'Financial Statements'!C8/(('Financial Statements'!C45+'Financial Statements'!D45)/2)</f>
        <v>9.6007400992047867</v>
      </c>
      <c r="E35">
        <f>'Financial Statements'!D8/(('Financial Statements'!D45+'Financial Statements'!E45)/2)</f>
        <v>14.933090355219496</v>
      </c>
    </row>
    <row r="36" spans="1:5" x14ac:dyDescent="0.2">
      <c r="A36" s="18">
        <f t="shared" si="4"/>
        <v>4.2999999999999989</v>
      </c>
      <c r="B36" s="1" t="s">
        <v>127</v>
      </c>
      <c r="C36">
        <f>'Financial Statements'!B12/('Financial Statements'!B39+'Financial Statements'!C39)/2</f>
        <v>9.6974665972583729</v>
      </c>
      <c r="D36">
        <f>'Financial Statements'!C12/('Financial Statements'!C39+'Financial Statements'!D39)/2</f>
        <v>10.007565078470069</v>
      </c>
      <c r="E36">
        <f>'Financial Statements'!D12/('Financial Statements'!D39+'Financial Statements'!E39)/2</f>
        <v>20.876508249199706</v>
      </c>
    </row>
    <row r="37" spans="1:5" x14ac:dyDescent="0.2">
      <c r="A37" s="18">
        <f t="shared" si="4"/>
        <v>4.3999999999999986</v>
      </c>
      <c r="B37" s="1" t="s">
        <v>128</v>
      </c>
      <c r="C37" s="25">
        <f>'Financial Statements'!B22/(('Financial Statements'!B48+'Financial Statements'!C48)/2)</f>
        <v>0.28362915040276687</v>
      </c>
      <c r="D37" s="25">
        <f>'Financial Statements'!C22/(('Financial Statements'!C48+'Financial Statements'!D48)/2)</f>
        <v>0.28057905732786081</v>
      </c>
      <c r="E37" s="25">
        <f>'Financial Statements'!D22/(('Financial Statements'!D48+'Financial Statements'!E48)/2)</f>
        <v>0.35451143605196861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f>'Financial Statements'!B65/'Financial Statements'!B66</f>
        <v>-21.137222946544981</v>
      </c>
      <c r="D40">
        <f>'Financial Statements'!C65/'Financial Statements'!C66</f>
        <v>10.313736066163251</v>
      </c>
      <c r="E40">
        <f>'Financial Statements'!D65/'Financial Statements'!D66</f>
        <v>3.3929573700387543</v>
      </c>
    </row>
    <row r="41" spans="1:5" x14ac:dyDescent="0.2">
      <c r="A41" s="18">
        <f t="shared" ref="A41:A44" si="5">+A40+0.1</f>
        <v>5.1999999999999993</v>
      </c>
      <c r="B41" s="3" t="s">
        <v>131</v>
      </c>
      <c r="C41">
        <f>'Financial Statements'!B8/4754986</f>
        <v>8.2929371400883203E-2</v>
      </c>
      <c r="D41">
        <f>'Financial Statements'!C8/4754986</f>
        <v>7.6933349540881935E-2</v>
      </c>
      <c r="E41">
        <f>'Financial Statements'!D8/4754986</f>
        <v>5.7732031177378858E-2</v>
      </c>
    </row>
    <row r="42" spans="1:5" x14ac:dyDescent="0.2">
      <c r="A42" s="18">
        <f t="shared" si="5"/>
        <v>5.2999999999999989</v>
      </c>
      <c r="B42" s="1" t="s">
        <v>132</v>
      </c>
      <c r="C42">
        <f>('Financial Statements'!B48-'Financial Statements'!B62)/4754986</f>
        <v>1.0656603405351772E-2</v>
      </c>
      <c r="D42">
        <f>('Financial Statements'!C48-'Financial Statements'!C62)/4754986</f>
        <v>1.3268177866349134E-2</v>
      </c>
      <c r="E42">
        <f>('Financial Statements'!D48-'Financial Statements'!D62)/4754986</f>
        <v>1.3741155073853003E-2</v>
      </c>
    </row>
    <row r="43" spans="1:5" x14ac:dyDescent="0.2">
      <c r="A43" s="18">
        <f t="shared" si="5"/>
        <v>5.3999999999999986</v>
      </c>
      <c r="B43" s="3" t="s">
        <v>133</v>
      </c>
      <c r="C43">
        <f>'Financial Statements'!B68/4754986</f>
        <v>1.0656603405351772E-2</v>
      </c>
      <c r="D43">
        <f>'Financial Statements'!C68/4754986</f>
        <v>1.3268177866349134E-2</v>
      </c>
      <c r="E43">
        <f>'Financial Statements'!D68/4754986</f>
        <v>1.3741155073853003E-2</v>
      </c>
    </row>
    <row r="44" spans="1:5" x14ac:dyDescent="0.2">
      <c r="A44" s="18">
        <f t="shared" si="5"/>
        <v>5.4999999999999982</v>
      </c>
      <c r="B44" s="1" t="s">
        <v>134</v>
      </c>
      <c r="C44">
        <f>'Financial Statements'!B102/'Financial Statements'!B8</f>
        <v>-3.7636181047250007E-2</v>
      </c>
      <c r="D44">
        <f>'Financial Statements'!C102/'Financial Statements'!C8</f>
        <v>-3.9547095952347761E-2</v>
      </c>
      <c r="E44">
        <f>'Financial Statements'!D102/'Financial Statements'!D8</f>
        <v>-5.1294100504526166E-2</v>
      </c>
    </row>
    <row r="45" spans="1:5" x14ac:dyDescent="0.2">
      <c r="A45" s="18"/>
      <c r="B45" s="3" t="s">
        <v>135</v>
      </c>
      <c r="C45">
        <f>'Financial Statements'!B102/4754986</f>
        <v>-3.121144836178277E-3</v>
      </c>
      <c r="D45">
        <f>'Financial Statements'!C102/4754986</f>
        <v>-3.0424905562287672E-3</v>
      </c>
      <c r="E45">
        <f>'Financial Statements'!D102/4754986</f>
        <v>-2.9613126095429094E-3</v>
      </c>
    </row>
    <row r="46" spans="1:5" x14ac:dyDescent="0.2">
      <c r="A46" s="18">
        <f>+A44+0.1</f>
        <v>5.5999999999999979</v>
      </c>
      <c r="B46" s="1" t="s">
        <v>136</v>
      </c>
      <c r="C46" s="30">
        <f>C53/C45</f>
        <v>-44278.624432315875</v>
      </c>
      <c r="D46" s="28">
        <f t="shared" ref="D46:E46" si="6">D53/D45</f>
        <v>-48289.385713693227</v>
      </c>
      <c r="E46" s="28">
        <f t="shared" si="6"/>
        <v>-37915.618782756908</v>
      </c>
    </row>
    <row r="47" spans="1:5" x14ac:dyDescent="0.2">
      <c r="A47" s="18">
        <f t="shared" ref="A47:A50" si="7">+A45+0.1</f>
        <v>0.1</v>
      </c>
      <c r="B47" s="1" t="s">
        <v>137</v>
      </c>
      <c r="C47" s="25">
        <f>'Financial Statements'!B22/'Financial Statements'!B68</f>
        <v>1.9695887275023682</v>
      </c>
      <c r="D47" s="25">
        <f>'Financial Statements'!C22/'Financial Statements'!C68</f>
        <v>1.5007132667617689</v>
      </c>
      <c r="E47" s="25">
        <f>'Financial Statements'!D22/'Financial Statements'!D68</f>
        <v>0.87866358530127486</v>
      </c>
    </row>
    <row r="48" spans="1:5" x14ac:dyDescent="0.2">
      <c r="A48" s="18">
        <f t="shared" si="7"/>
        <v>5.6999999999999975</v>
      </c>
      <c r="B48" s="1" t="s">
        <v>138</v>
      </c>
      <c r="C48" s="25">
        <f>C21/('Financial Statements'!B48-'Financial Statements'!B56)</f>
        <v>0.60087134570590572</v>
      </c>
      <c r="D48" s="25">
        <f>D21/('Financial Statements'!C48-'Financial Statements'!C56)</f>
        <v>0.48309913489209433</v>
      </c>
      <c r="E48" s="25">
        <f>E21/('Financial Statements'!D48-'Financial Statements'!D56)</f>
        <v>0.30338312829525482</v>
      </c>
    </row>
    <row r="49" spans="1:5" x14ac:dyDescent="0.2">
      <c r="A49" s="18">
        <f t="shared" si="7"/>
        <v>0.2</v>
      </c>
      <c r="B49" s="1" t="s">
        <v>128</v>
      </c>
      <c r="C49" s="25">
        <f>'Financial Statements'!B22/(('Financial Statements'!B48+'Financial Statements'!C48)/2)</f>
        <v>0.28362915040276687</v>
      </c>
      <c r="D49" s="25">
        <f>'Financial Statements'!C22/(('Financial Statements'!C48+'Financial Statements'!D48)/2)</f>
        <v>0.28057905732786081</v>
      </c>
      <c r="E49" s="25">
        <f>'Financial Statements'!D22/(('Financial Statements'!D48+'Financial Statements'!E48)/2)</f>
        <v>0.35451143605196861</v>
      </c>
    </row>
    <row r="50" spans="1:5" x14ac:dyDescent="0.2">
      <c r="A50" s="18">
        <f t="shared" si="7"/>
        <v>5.7999999999999972</v>
      </c>
      <c r="B50" s="1" t="s">
        <v>139</v>
      </c>
      <c r="C50">
        <f>C51/C19</f>
        <v>5048.525710599276</v>
      </c>
      <c r="D50">
        <f t="shared" ref="D50:E50" si="8">D51/D19</f>
        <v>5799.6095319982396</v>
      </c>
      <c r="E50">
        <f t="shared" si="8"/>
        <v>6834.1467373027754</v>
      </c>
    </row>
    <row r="51" spans="1:5" x14ac:dyDescent="0.2">
      <c r="A51" s="18"/>
      <c r="B51" s="3" t="s">
        <v>140</v>
      </c>
      <c r="C51" s="30">
        <f>(4754986*C53)+'Financial Statements'!B62-'Financial Statements'!B51-'Financial Statements'!B36</f>
        <v>657353387.19999993</v>
      </c>
      <c r="D51" s="30">
        <f>(4754986*D53)+'Financial Statements'!C62-'Financial Statements'!C51-'Financial Statements'!C36</f>
        <v>698800752.11999989</v>
      </c>
      <c r="E51" s="30">
        <f>(4754986*E53)+'Financial Statements'!D62-'Financial Statements'!D51-'Financial Statements'!D36</f>
        <v>534068065.07999998</v>
      </c>
    </row>
    <row r="53" spans="1:5" x14ac:dyDescent="0.2">
      <c r="B53" s="11" t="s">
        <v>150</v>
      </c>
      <c r="C53" s="29">
        <v>138.19999999999999</v>
      </c>
      <c r="D53" s="29">
        <v>146.91999999999999</v>
      </c>
      <c r="E53" s="29">
        <v>112.28</v>
      </c>
    </row>
    <row r="56" spans="1:5" ht="16" x14ac:dyDescent="0.2">
      <c r="B56" s="32" t="s">
        <v>151</v>
      </c>
      <c r="C56" s="25"/>
      <c r="D56" s="25"/>
    </row>
    <row r="57" spans="1:5" x14ac:dyDescent="0.2">
      <c r="B57" s="7" t="s">
        <v>145</v>
      </c>
      <c r="C57" s="25"/>
      <c r="D57" s="25"/>
    </row>
    <row r="58" spans="1:5" x14ac:dyDescent="0.2">
      <c r="B58" s="7" t="s">
        <v>3</v>
      </c>
      <c r="E58" s="25"/>
    </row>
    <row r="59" spans="1:5" x14ac:dyDescent="0.2">
      <c r="B59" t="s">
        <v>4</v>
      </c>
      <c r="C59" s="25">
        <f>('Financial Statements'!B6-'Financial Statements'!C6)/'Financial Statements'!C6</f>
        <v>6.3239764351428418E-2</v>
      </c>
      <c r="D59" s="25">
        <f>('Financial Statements'!C6-'Financial Statements'!D6)/'Financial Statements'!D6</f>
        <v>0.34720743656765435</v>
      </c>
      <c r="E59" s="25"/>
    </row>
    <row r="60" spans="1:5" x14ac:dyDescent="0.2">
      <c r="B60" t="s">
        <v>5</v>
      </c>
      <c r="C60" s="25">
        <f>('Financial Statements'!B7-'Financial Statements'!C7)/'Financial Statements'!C7</f>
        <v>0.14181951041286078</v>
      </c>
      <c r="D60" s="25">
        <f>('Financial Statements'!C7-'Financial Statements'!D7)/'Financial Statements'!D7</f>
        <v>0.27259708376729652</v>
      </c>
      <c r="E60" s="25"/>
    </row>
    <row r="61" spans="1:5" x14ac:dyDescent="0.2">
      <c r="B61" s="33" t="s">
        <v>6</v>
      </c>
      <c r="C61" s="25">
        <f>(('Financial Statements'!B8-'Financial Statements'!C8)/'Financial Statements'!C8)</f>
        <v>7.7937876041846058E-2</v>
      </c>
      <c r="D61" s="25">
        <f>(('Financial Statements'!C8-'Financial Statements'!D8)/'Financial Statements'!D8)</f>
        <v>0.33259384733074693</v>
      </c>
    </row>
    <row r="62" spans="1:5" x14ac:dyDescent="0.2">
      <c r="B62" s="7" t="s">
        <v>7</v>
      </c>
    </row>
    <row r="63" spans="1:5" x14ac:dyDescent="0.2">
      <c r="B63" t="s">
        <v>4</v>
      </c>
      <c r="C63" s="25">
        <f>('Financial Statements'!B10-'Financial Statements'!C10)/'Financial Statements'!C10</f>
        <v>4.7876379599097081E-2</v>
      </c>
      <c r="D63" s="25">
        <f>('Financial Statements'!C10-'Financial Statements'!D10)/'Financial Statements'!D10</f>
        <v>0.27087767539626934</v>
      </c>
    </row>
    <row r="64" spans="1:5" x14ac:dyDescent="0.2">
      <c r="B64" t="s">
        <v>5</v>
      </c>
      <c r="C64" s="25">
        <f>('Financial Statements'!B11-'Financial Statements'!C11)/'Financial Statements'!C11</f>
        <v>6.5652908520395847E-2</v>
      </c>
      <c r="D64" s="25">
        <f>('Financial Statements'!C11-'Financial Statements'!D11)/'Financial Statements'!D11</f>
        <v>0.13363979642094895</v>
      </c>
    </row>
    <row r="65" spans="2:4" x14ac:dyDescent="0.2">
      <c r="B65" s="33" t="s">
        <v>8</v>
      </c>
      <c r="C65" s="25">
        <f>('Financial Statements'!B12-'Financial Statements'!C12)/'Financial Statements'!C12</f>
        <v>4.9605363858747961E-2</v>
      </c>
      <c r="D65" s="25">
        <f>('Financial Statements'!C12-'Financial Statements'!D12)/'Financial Statements'!D12</f>
        <v>0.25608785142634716</v>
      </c>
    </row>
    <row r="66" spans="2:4" x14ac:dyDescent="0.2">
      <c r="B66" s="31" t="s">
        <v>18</v>
      </c>
      <c r="C66" s="25">
        <f>('Financial Statements'!B22-'Financial Statements'!C22)/'Financial Statements'!C22</f>
        <v>5.4108576256865229E-2</v>
      </c>
      <c r="D66" s="25">
        <f>('Financial Statements'!C22-'Financial Statements'!D22)/'Financial Statements'!D22</f>
        <v>0.64916131055024295</v>
      </c>
    </row>
    <row r="67" spans="2:4" x14ac:dyDescent="0.2">
      <c r="B67" s="1" t="s">
        <v>89</v>
      </c>
      <c r="C67" s="25">
        <f>('Financial Statements'!B13-'Financial Statements'!C13)/'Financial Statements'!C13</f>
        <v>0.11741997958596143</v>
      </c>
      <c r="D67" s="25">
        <f>('Financial Statements'!C13-'Financial Statements'!D13)/'Financial Statements'!D13</f>
        <v>0.45619116582186819</v>
      </c>
    </row>
    <row r="68" spans="2:4" x14ac:dyDescent="0.2">
      <c r="B68" s="11" t="s">
        <v>90</v>
      </c>
      <c r="C68" s="25"/>
      <c r="D68" s="25"/>
    </row>
    <row r="69" spans="2:4" x14ac:dyDescent="0.2">
      <c r="B69" s="1" t="s">
        <v>11</v>
      </c>
      <c r="C69" s="25">
        <f>('Financial Statements'!B15-'Financial Statements'!C15)/'Financial Statements'!C15</f>
        <v>0.19791001186456147</v>
      </c>
      <c r="D69" s="25">
        <f>('Financial Statements'!C15-'Financial Statements'!D15)/'Financial Statements'!D15</f>
        <v>0.16862201365187712</v>
      </c>
    </row>
    <row r="70" spans="2:4" x14ac:dyDescent="0.2">
      <c r="B70" s="1" t="s">
        <v>12</v>
      </c>
      <c r="C70" s="25">
        <f>('Financial Statements'!B16-'Financial Statements'!C16)/'Financial Statements'!C16</f>
        <v>0.14203795567287125</v>
      </c>
      <c r="D70" s="25">
        <f>('Financial Statements'!C16-'Financial Statements'!D16)/'Financial Statements'!D16</f>
        <v>0.10328379192608958</v>
      </c>
    </row>
    <row r="71" spans="2:4" x14ac:dyDescent="0.2">
      <c r="B71" s="11" t="s">
        <v>91</v>
      </c>
      <c r="C71" s="25"/>
      <c r="D71" s="25"/>
    </row>
    <row r="72" spans="2:4" x14ac:dyDescent="0.2">
      <c r="B72" s="7" t="s">
        <v>25</v>
      </c>
      <c r="C72" s="25"/>
      <c r="D72" s="25"/>
    </row>
    <row r="73" spans="2:4" x14ac:dyDescent="0.2">
      <c r="B73" s="1" t="s">
        <v>26</v>
      </c>
      <c r="C73" s="25">
        <f>('Financial Statements'!B36-'Financial Statements'!C36)/'Financial Statements'!C36</f>
        <v>-0.32323983972524328</v>
      </c>
      <c r="D73" s="25">
        <f>('Financial Statements'!C36-'Financial Statements'!D36)/'Financial Statements'!D36</f>
        <v>-8.0913299663299659E-2</v>
      </c>
    </row>
    <row r="74" spans="2:4" x14ac:dyDescent="0.2">
      <c r="B74" s="1" t="s">
        <v>27</v>
      </c>
      <c r="C74" s="25">
        <f>('Financial Statements'!B37-'Financial Statements'!C37)/'Financial Statements'!C37</f>
        <v>-0.10978735694429402</v>
      </c>
      <c r="D74" s="25">
        <f>('Financial Statements'!C37-'Financial Statements'!D37)/'Financial Statements'!D37</f>
        <v>-0.47665652691442933</v>
      </c>
    </row>
    <row r="75" spans="2:4" x14ac:dyDescent="0.2">
      <c r="B75" s="1" t="s">
        <v>28</v>
      </c>
      <c r="C75" s="25">
        <f>('Financial Statements'!B38-'Financial Statements'!C38)/'Financial Statements'!C38</f>
        <v>7.2532156176269125E-2</v>
      </c>
      <c r="D75" s="25">
        <f>('Financial Statements'!C38-'Financial Statements'!D38)/'Financial Statements'!D38</f>
        <v>0.63014888337468977</v>
      </c>
    </row>
    <row r="76" spans="2:4" x14ac:dyDescent="0.2">
      <c r="B76" s="1" t="s">
        <v>47</v>
      </c>
      <c r="C76" s="25">
        <f>('Financial Statements'!B40-'Financial Statements'!C40)/'Financial Statements'!C40</f>
        <v>0.29808149674964324</v>
      </c>
      <c r="D76" s="25">
        <f>('Financial Statements'!C40-'Financial Statements'!D40)/'Financial Statements'!D40</f>
        <v>0.18302461899179367</v>
      </c>
    </row>
    <row r="77" spans="2:4" x14ac:dyDescent="0.2">
      <c r="B77" s="11" t="s">
        <v>153</v>
      </c>
      <c r="C77" s="25"/>
      <c r="D77" s="25"/>
    </row>
    <row r="78" spans="2:4" x14ac:dyDescent="0.2">
      <c r="B78" s="1" t="s">
        <v>27</v>
      </c>
      <c r="C78" s="25">
        <f>('Financial Statements'!B44-'Financial Statements'!C44)/'Financial Statements'!C44</f>
        <v>-5.5303142863845724E-2</v>
      </c>
      <c r="D78" s="25">
        <f>('Financial Statements'!C44-'Financial Statements'!D44)/'Financial Statements'!D44</f>
        <v>0.26752703519779553</v>
      </c>
    </row>
    <row r="79" spans="2:4" x14ac:dyDescent="0.2">
      <c r="B79" s="1" t="s">
        <v>32</v>
      </c>
      <c r="C79" s="25">
        <f>('Financial Statements'!B45-'Financial Statements'!C45)/'Financial Statements'!C45</f>
        <v>6.7875253549695744E-2</v>
      </c>
      <c r="D79" s="25">
        <f>('Financial Statements'!C45-'Financial Statements'!D45)/'Financial Statements'!D45</f>
        <v>7.2730239895555673E-2</v>
      </c>
    </row>
    <row r="80" spans="2:4" x14ac:dyDescent="0.2">
      <c r="B80" s="7" t="s">
        <v>34</v>
      </c>
      <c r="C80" s="25"/>
      <c r="D80" s="25"/>
    </row>
    <row r="81" spans="2:5" x14ac:dyDescent="0.2">
      <c r="B81" s="1" t="s">
        <v>35</v>
      </c>
      <c r="C81" s="25">
        <f>('Financial Statements'!B51-'Financial Statements'!C51)/'Financial Statements'!C51</f>
        <v>0.17077223672917846</v>
      </c>
      <c r="D81" s="25">
        <f>('Financial Statements'!C51-'Financial Statements'!D51)/'Financial Statements'!D51</f>
        <v>0.29475600529600909</v>
      </c>
    </row>
    <row r="82" spans="2:5" x14ac:dyDescent="0.2">
      <c r="B82" s="1" t="s">
        <v>36</v>
      </c>
      <c r="C82" s="25">
        <f>('Financial Statements'!B52-'Financial Statements'!C52)/'Financial Statements'!C52</f>
        <v>0.28113616743520098</v>
      </c>
      <c r="D82" s="25">
        <f>('Financial Statements'!C52-'Financial Statements'!D52)/'Financial Statements'!D52</f>
        <v>0.1126651672757942</v>
      </c>
    </row>
    <row r="83" spans="2:5" x14ac:dyDescent="0.2">
      <c r="B83" s="7" t="s">
        <v>51</v>
      </c>
      <c r="C83" s="25"/>
      <c r="D83" s="25"/>
    </row>
    <row r="84" spans="2:5" x14ac:dyDescent="0.2">
      <c r="B84" s="1" t="s">
        <v>39</v>
      </c>
      <c r="C84" s="25">
        <f>('Financial Statements'!B59-'Financial Statements'!C59)/'Financial Statements'!C59</f>
        <v>-9.3001301486627677E-2</v>
      </c>
      <c r="D84" s="25">
        <f>('Financial Statements'!C59-'Financial Statements'!D59)/'Financial Statements'!D59</f>
        <v>0.1058003182421681</v>
      </c>
    </row>
    <row r="86" spans="2:5" ht="16" x14ac:dyDescent="0.2">
      <c r="B86" s="32" t="s">
        <v>152</v>
      </c>
    </row>
    <row r="87" spans="2:5" x14ac:dyDescent="0.2">
      <c r="B87" s="1" t="s">
        <v>146</v>
      </c>
      <c r="C87" s="25">
        <f>'Financial Statements'!B10/'Financial Statements'!B8</f>
        <v>0.5109223793390274</v>
      </c>
      <c r="D87" s="25">
        <f>'Financial Statements'!C10/'Financial Statements'!C8</f>
        <v>0.5255797297555882</v>
      </c>
      <c r="E87" s="25">
        <f>'Financial Statements'!D10/'Financial Statements'!D8</f>
        <v>0.55110285412454696</v>
      </c>
    </row>
    <row r="88" spans="2:5" x14ac:dyDescent="0.2">
      <c r="B88" s="1" t="s">
        <v>89</v>
      </c>
      <c r="C88" s="25">
        <f>('Financial Statements'!B13/'Financial Statements'!B8 )</f>
        <v>0.43309630561360085</v>
      </c>
      <c r="D88" s="25">
        <f>('Financial Statements'!C13/'Financial Statements'!C8 )</f>
        <v>0.41779359625167778</v>
      </c>
      <c r="E88" s="25">
        <f>('Financial Statements'!D13/'Financial Statements'!D8 )</f>
        <v>0.38233247727810865</v>
      </c>
    </row>
    <row r="89" spans="2:5" x14ac:dyDescent="0.2">
      <c r="B89" s="11" t="s">
        <v>90</v>
      </c>
      <c r="C89" s="25"/>
      <c r="D89" s="25"/>
    </row>
    <row r="90" spans="2:5" x14ac:dyDescent="0.2">
      <c r="B90" t="s">
        <v>11</v>
      </c>
      <c r="C90" s="25">
        <f>('Financial Statements'!B15/'Financial Statements'!B8)</f>
        <v>6.657148363798665E-2</v>
      </c>
      <c r="D90" s="25">
        <f>('Financial Statements'!C15/'Financial Statements'!C8)</f>
        <v>5.9904269074427925E-2</v>
      </c>
      <c r="E90" s="25">
        <f>('Financial Statements'!D15/'Financial Statements'!D8)</f>
        <v>6.8309564140393061E-2</v>
      </c>
    </row>
    <row r="91" spans="2:5" x14ac:dyDescent="0.2">
      <c r="B91" t="s">
        <v>12</v>
      </c>
      <c r="C91" s="25">
        <f>('Financial Statements'!B16/'Financial Statements'!B8)</f>
        <v>6.3637378020328261E-2</v>
      </c>
      <c r="D91" s="25">
        <f>('Financial Statements'!C16/'Financial Statements'!C8)</f>
        <v>6.006555190163388E-2</v>
      </c>
      <c r="E91" s="25">
        <f>('Financial Statements'!D16/'Financial Statements'!D8)</f>
        <v>7.2549769593646979E-2</v>
      </c>
    </row>
    <row r="92" spans="2:5" x14ac:dyDescent="0.2">
      <c r="B92" s="1" t="s">
        <v>14</v>
      </c>
      <c r="C92" s="25">
        <f>('Financial Statements'!B18/'Financial Statements'!B8)</f>
        <v>0.30288744395528594</v>
      </c>
      <c r="D92" s="25">
        <f>('Financial Statements'!C18/'Financial Statements'!C8)</f>
        <v>0.29782377527561593</v>
      </c>
      <c r="E92" s="25">
        <f>('Financial Statements'!D18/'Financial Statements'!D8)</f>
        <v>0.24147314354406862</v>
      </c>
    </row>
    <row r="93" spans="2:5" x14ac:dyDescent="0.2">
      <c r="B93" s="1" t="s">
        <v>93</v>
      </c>
      <c r="C93" s="25">
        <f>('Financial Statements'!B22/'Financial Statements'!B8)</f>
        <v>0.25309640705199732</v>
      </c>
      <c r="D93" s="25">
        <f>('Financial Statements'!C22/'Financial Statements'!C8)</f>
        <v>0.25881793355694238</v>
      </c>
      <c r="E93" s="25">
        <f>('Financial Statements'!D22/'Financial Statements'!D8)</f>
        <v>0.20913611278072236</v>
      </c>
    </row>
    <row r="94" spans="2:5" x14ac:dyDescent="0.2">
      <c r="B94" s="1"/>
      <c r="C94" s="25"/>
      <c r="D94" s="25"/>
    </row>
    <row r="95" spans="2:5" ht="16" x14ac:dyDescent="0.2">
      <c r="B95" s="32" t="s">
        <v>98</v>
      </c>
    </row>
    <row r="96" spans="2:5" x14ac:dyDescent="0.2">
      <c r="B96" s="1" t="s">
        <v>94</v>
      </c>
      <c r="C96" s="25">
        <f>'Financial Statements'!B21/'Financial Statements'!B20</f>
        <v>0.16204461684424407</v>
      </c>
      <c r="D96" s="25">
        <f>'Financial Statements'!C21/'Financial Statements'!C20</f>
        <v>0.13302260844085087</v>
      </c>
      <c r="E96" s="25">
        <f>'Financial Statements'!D21/'Financial Statements'!D20</f>
        <v>0.14428164731484103</v>
      </c>
    </row>
    <row r="97" spans="2:5" x14ac:dyDescent="0.2">
      <c r="B97" s="1" t="s">
        <v>95</v>
      </c>
      <c r="C97" s="25">
        <f>'Financial Statements'!B45/'Financial Statements'!B8</f>
        <v>0.10680702359457102</v>
      </c>
      <c r="D97" s="25">
        <f>'Financial Statements'!C45/'Financial Statements'!C8</f>
        <v>0.10781346957631821</v>
      </c>
      <c r="E97" s="25">
        <f>'Financial Statements'!D45/'Financial Statements'!D8</f>
        <v>0.13393075059650655</v>
      </c>
    </row>
    <row r="98" spans="2:5" x14ac:dyDescent="0.2">
      <c r="B98" s="1" t="s">
        <v>96</v>
      </c>
      <c r="C98" s="25">
        <f>'Financial Statements'!B45/'Financial Statements'!B46</f>
        <v>0.77381127360917179</v>
      </c>
      <c r="D98" s="25">
        <f>'Financial Statements'!C45/'Financial Statements'!C46</f>
        <v>0.80738602632602507</v>
      </c>
      <c r="E98" s="25">
        <f>'Financial Statements'!D45/'Financial Statements'!D46</f>
        <v>0.86463477729175486</v>
      </c>
    </row>
  </sheetData>
  <mergeCells count="1">
    <mergeCell ref="C2:E2"/>
  </mergeCells>
  <pageMargins left="0.7" right="0.7" top="0.75" bottom="0.75" header="0.3" footer="0.3"/>
  <ignoredErrors>
    <ignoredError sqref="C20: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3"/>
  <sheetViews>
    <sheetView topLeftCell="A93" workbookViewId="0">
      <selection activeCell="B102" sqref="B102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6" max="6" width="9.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4" t="s">
        <v>1</v>
      </c>
      <c r="B2" s="24"/>
      <c r="C2" s="24"/>
      <c r="D2" s="24"/>
    </row>
    <row r="3" spans="1:10" x14ac:dyDescent="0.2">
      <c r="B3" s="23" t="s">
        <v>23</v>
      </c>
      <c r="C3" s="23"/>
      <c r="D3" s="23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F11" s="27"/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  <c r="F13" s="27"/>
      <c r="G13" s="27"/>
    </row>
    <row r="14" spans="1:10" x14ac:dyDescent="0.2">
      <c r="A14" t="s">
        <v>10</v>
      </c>
      <c r="B14" s="12"/>
      <c r="C14" s="12"/>
      <c r="D14" s="12"/>
      <c r="G14" s="27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  <c r="G16" s="27"/>
    </row>
    <row r="17" spans="1:6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6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6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6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  <c r="F20" s="27"/>
    </row>
    <row r="21" spans="1:6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6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6" ht="16" thickTop="1" x14ac:dyDescent="0.2">
      <c r="A23" t="s">
        <v>19</v>
      </c>
    </row>
    <row r="24" spans="1:6" x14ac:dyDescent="0.2">
      <c r="A24" s="1" t="s">
        <v>20</v>
      </c>
      <c r="B24" s="10">
        <v>6.15</v>
      </c>
      <c r="C24" s="10">
        <v>5.67</v>
      </c>
      <c r="D24" s="10">
        <v>3.31</v>
      </c>
      <c r="F24" s="27"/>
    </row>
    <row r="25" spans="1:6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6" x14ac:dyDescent="0.2">
      <c r="A26" t="s">
        <v>22</v>
      </c>
    </row>
    <row r="27" spans="1:6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6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6" x14ac:dyDescent="0.2">
      <c r="A31" s="24" t="s">
        <v>24</v>
      </c>
      <c r="B31" s="24"/>
      <c r="C31" s="24"/>
      <c r="D31" s="24"/>
    </row>
    <row r="32" spans="1:6" x14ac:dyDescent="0.2">
      <c r="B32" s="23" t="s">
        <v>142</v>
      </c>
      <c r="C32" s="23"/>
      <c r="D32" s="23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8" x14ac:dyDescent="0.2">
      <c r="A65" s="1" t="s">
        <v>54</v>
      </c>
      <c r="B65" s="12">
        <v>64849</v>
      </c>
      <c r="C65" s="12">
        <v>57365</v>
      </c>
      <c r="D65" s="12">
        <v>50779</v>
      </c>
      <c r="F65" s="26"/>
      <c r="G65" s="26"/>
      <c r="H65" s="26"/>
    </row>
    <row r="66" spans="1:8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8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8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8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8" ht="16" thickTop="1" x14ac:dyDescent="0.2"/>
    <row r="71" spans="1:8" x14ac:dyDescent="0.2">
      <c r="A71" s="24" t="s">
        <v>55</v>
      </c>
      <c r="B71" s="24"/>
      <c r="C71" s="24"/>
      <c r="D71" s="24"/>
    </row>
    <row r="72" spans="1:8" x14ac:dyDescent="0.2">
      <c r="B72" s="23" t="s">
        <v>23</v>
      </c>
      <c r="C72" s="23"/>
      <c r="D72" s="23"/>
    </row>
    <row r="73" spans="1:8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8" x14ac:dyDescent="0.2">
      <c r="A75" s="7" t="s">
        <v>56</v>
      </c>
      <c r="B75" s="15"/>
      <c r="C75" s="15"/>
      <c r="D75" s="15"/>
    </row>
    <row r="76" spans="1:8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8" x14ac:dyDescent="0.2">
      <c r="A77" s="11" t="s">
        <v>18</v>
      </c>
      <c r="B77" s="15"/>
      <c r="C77" s="15"/>
      <c r="D77" s="15"/>
    </row>
    <row r="78" spans="1:8" x14ac:dyDescent="0.2">
      <c r="A78" s="1" t="s">
        <v>58</v>
      </c>
      <c r="B78" s="12"/>
      <c r="C78" s="12"/>
      <c r="D78" s="12"/>
    </row>
    <row r="79" spans="1:8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8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  <row r="117" spans="1:4" x14ac:dyDescent="0.2">
      <c r="A117" s="17"/>
    </row>
    <row r="118" spans="1:4" x14ac:dyDescent="0.2">
      <c r="A118" s="1"/>
    </row>
    <row r="119" spans="1:4" x14ac:dyDescent="0.2">
      <c r="A119" s="1"/>
    </row>
    <row r="120" spans="1:4" x14ac:dyDescent="0.2">
      <c r="A120" s="1"/>
    </row>
    <row r="121" spans="1:4" x14ac:dyDescent="0.2">
      <c r="A121" s="1"/>
    </row>
    <row r="122" spans="1:4" x14ac:dyDescent="0.2">
      <c r="A122" s="1"/>
    </row>
    <row r="123" spans="1:4" x14ac:dyDescent="0.2">
      <c r="A123" s="17"/>
    </row>
    <row r="124" spans="1:4" x14ac:dyDescent="0.2">
      <c r="A124" s="1"/>
    </row>
    <row r="125" spans="1:4" x14ac:dyDescent="0.2">
      <c r="A125" s="1"/>
    </row>
    <row r="126" spans="1:4" x14ac:dyDescent="0.2">
      <c r="A126" s="1"/>
    </row>
    <row r="127" spans="1:4" x14ac:dyDescent="0.2">
      <c r="A127" s="1"/>
    </row>
    <row r="128" spans="1:4" x14ac:dyDescent="0.2">
      <c r="A128" s="1"/>
    </row>
    <row r="129" spans="1:1" x14ac:dyDescent="0.2">
      <c r="A129" s="1"/>
    </row>
    <row r="130" spans="1:1" x14ac:dyDescent="0.2">
      <c r="A130" s="17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List of Ratios</vt:lpstr>
      <vt:lpstr>Financial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Nejd Hassanieh</cp:lastModifiedBy>
  <dcterms:created xsi:type="dcterms:W3CDTF">2020-05-18T16:32:37Z</dcterms:created>
  <dcterms:modified xsi:type="dcterms:W3CDTF">2023-12-11T01:05:33Z</dcterms:modified>
</cp:coreProperties>
</file>