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OneDrive\سطح المكتب\"/>
    </mc:Choice>
  </mc:AlternateContent>
  <xr:revisionPtr revIDLastSave="0" documentId="13_ncr:1_{8DCF8A54-6F01-448B-A1E6-CA6C1A7868AA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C41" i="3"/>
  <c r="M32" i="3"/>
  <c r="N32" i="3"/>
  <c r="L32" i="3"/>
  <c r="M31" i="3"/>
  <c r="N31" i="3"/>
  <c r="L31" i="3"/>
  <c r="M30" i="3"/>
  <c r="N30" i="3"/>
  <c r="L30" i="3"/>
  <c r="M28" i="3"/>
  <c r="N28" i="3"/>
  <c r="L28" i="3"/>
  <c r="M26" i="3"/>
  <c r="N26" i="3"/>
  <c r="L26" i="3"/>
  <c r="M22" i="3"/>
  <c r="N22" i="3"/>
  <c r="L22" i="3"/>
  <c r="M25" i="3"/>
  <c r="N25" i="3"/>
  <c r="L25" i="3"/>
  <c r="M23" i="3"/>
  <c r="N23" i="3"/>
  <c r="L23" i="3"/>
  <c r="N24" i="3"/>
  <c r="M24" i="3"/>
  <c r="L24" i="3"/>
  <c r="L21" i="3"/>
  <c r="M21" i="3"/>
  <c r="N21" i="3"/>
  <c r="M19" i="3"/>
  <c r="N19" i="3"/>
  <c r="L19" i="3"/>
  <c r="M17" i="3"/>
  <c r="N17" i="3"/>
  <c r="L17" i="3"/>
  <c r="M16" i="3"/>
  <c r="N16" i="3"/>
  <c r="L16" i="3"/>
  <c r="M15" i="3"/>
  <c r="N15" i="3"/>
  <c r="L15" i="3"/>
  <c r="M14" i="3"/>
  <c r="N14" i="3"/>
  <c r="L14" i="3"/>
  <c r="M13" i="3"/>
  <c r="N13" i="3"/>
  <c r="L13" i="3"/>
  <c r="M12" i="3"/>
  <c r="N12" i="3"/>
  <c r="L12" i="3"/>
  <c r="M11" i="3"/>
  <c r="N11" i="3"/>
  <c r="L11" i="3"/>
  <c r="M10" i="3"/>
  <c r="N10" i="3"/>
  <c r="L10" i="3"/>
  <c r="M9" i="3"/>
  <c r="N9" i="3"/>
  <c r="L9" i="3"/>
  <c r="M8" i="3"/>
  <c r="N8" i="3"/>
  <c r="L8" i="3"/>
  <c r="M7" i="3"/>
  <c r="N7" i="3"/>
  <c r="L7" i="3"/>
  <c r="M6" i="3"/>
  <c r="N6" i="3"/>
  <c r="L6" i="3"/>
  <c r="M5" i="3"/>
  <c r="N5" i="3"/>
  <c r="L5" i="3"/>
  <c r="C29" i="3"/>
  <c r="D29" i="3"/>
  <c r="E29" i="3"/>
  <c r="D31" i="3"/>
  <c r="E31" i="3"/>
  <c r="C31" i="3"/>
  <c r="D49" i="3"/>
  <c r="E49" i="3"/>
  <c r="C49" i="3"/>
  <c r="H48" i="3"/>
  <c r="I48" i="3"/>
  <c r="G48" i="3"/>
  <c r="I41" i="3"/>
  <c r="E41" i="3" s="1"/>
  <c r="H41" i="3"/>
  <c r="D45" i="3" s="1"/>
  <c r="D46" i="3" s="1"/>
  <c r="G41" i="3"/>
  <c r="C45" i="3" s="1"/>
  <c r="C46" i="3" s="1"/>
  <c r="D37" i="3"/>
  <c r="E37" i="3"/>
  <c r="C37" i="3"/>
  <c r="D14" i="3"/>
  <c r="D13" i="3" s="1"/>
  <c r="E14" i="3"/>
  <c r="E13" i="3" s="1"/>
  <c r="C14" i="3"/>
  <c r="C13" i="3" s="1"/>
  <c r="D19" i="3"/>
  <c r="D18" i="3" s="1"/>
  <c r="E19" i="3"/>
  <c r="E18" i="3" s="1"/>
  <c r="C19" i="3"/>
  <c r="C18" i="3" s="1"/>
  <c r="D21" i="3"/>
  <c r="D47" i="3" s="1"/>
  <c r="E21" i="3"/>
  <c r="E20" i="3" s="1"/>
  <c r="C21" i="3"/>
  <c r="C28" i="3" s="1"/>
  <c r="D22" i="3"/>
  <c r="E22" i="3"/>
  <c r="C22" i="3"/>
  <c r="H8" i="3"/>
  <c r="D8" i="3" s="1"/>
  <c r="I8" i="3"/>
  <c r="E8" i="3" s="1"/>
  <c r="G8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C17" i="3"/>
  <c r="D17" i="3"/>
  <c r="E17" i="3"/>
  <c r="D11" i="3"/>
  <c r="E11" i="3"/>
  <c r="C11" i="3"/>
  <c r="D10" i="3"/>
  <c r="E10" i="3"/>
  <c r="C10" i="3"/>
  <c r="D9" i="3"/>
  <c r="E9" i="3"/>
  <c r="C9" i="3"/>
  <c r="D7" i="3"/>
  <c r="E7" i="3"/>
  <c r="C7" i="3"/>
  <c r="D5" i="3"/>
  <c r="E5" i="3"/>
  <c r="C5" i="3"/>
  <c r="D6" i="3"/>
  <c r="E6" i="3"/>
  <c r="C6" i="3"/>
  <c r="D108" i="1"/>
  <c r="C108" i="1"/>
  <c r="B108" i="1"/>
  <c r="D99" i="1"/>
  <c r="C99" i="1"/>
  <c r="B99" i="1"/>
  <c r="C12" i="3" l="1"/>
  <c r="D30" i="3"/>
  <c r="C43" i="3"/>
  <c r="C42" i="3" s="1"/>
  <c r="C30" i="3"/>
  <c r="E12" i="3"/>
  <c r="D43" i="3"/>
  <c r="D42" i="3" s="1"/>
  <c r="E48" i="3"/>
  <c r="D12" i="3"/>
  <c r="E28" i="3"/>
  <c r="E30" i="3"/>
  <c r="C47" i="3"/>
  <c r="G51" i="3"/>
  <c r="C51" i="3" s="1"/>
  <c r="I51" i="3"/>
  <c r="E51" i="3" s="1"/>
  <c r="E50" i="3" s="1"/>
  <c r="E43" i="3"/>
  <c r="E42" i="3" s="1"/>
  <c r="C48" i="3"/>
  <c r="H51" i="3"/>
  <c r="D51" i="3" s="1"/>
  <c r="D50" i="3" s="1"/>
  <c r="E47" i="3"/>
  <c r="D48" i="3"/>
  <c r="E45" i="3"/>
  <c r="E46" i="3" s="1"/>
  <c r="D41" i="3"/>
  <c r="D40" i="3" s="1"/>
  <c r="C44" i="3"/>
  <c r="E40" i="3"/>
  <c r="C50" i="3"/>
  <c r="D20" i="3"/>
  <c r="D28" i="3"/>
  <c r="C20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N3" i="3" s="1"/>
  <c r="D3" i="3"/>
  <c r="M3" i="3" s="1"/>
  <c r="C3" i="3"/>
  <c r="L3" i="3" s="1"/>
  <c r="D33" i="1"/>
  <c r="D73" i="1" s="1"/>
  <c r="C33" i="1"/>
  <c r="C73" i="1" s="1"/>
  <c r="B33" i="1"/>
  <c r="B73" i="1" s="1"/>
  <c r="E44" i="3" l="1"/>
  <c r="D44" i="3"/>
  <c r="C40" i="3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<sst xmlns="http://schemas.openxmlformats.org/spreadsheetml/2006/main" count="204" uniqueCount="162">
  <si>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</si>
  <si>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</si>
  <si>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</si>
  <si>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</si>
  <si>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</si>
  <si>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</si>
  <si>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</si>
  <si>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</si>
  <si>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</si>
  <si>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</si>
  <si>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</si>
  <si>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</si>
  <si>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</si>
  <si>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</si>
  <si>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</si>
  <si>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</si>
  <si>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</si>
  <si>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</si>
  <si>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</si>
  <si>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</si>
  <si>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</si>
  <si>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</si>
  <si>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</si>
  <si>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</si>
  <si>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</si>
  <si>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</si>
  <si>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</si>
  <si>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</si>
  <si>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</si>
  <si>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</si>
  <si>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</si>
  <si>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</si>
  <si>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</si>
  <si>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</si>
  <si>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</si>
  <si>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</si>
  <si>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</si>
  <si>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</si>
  <si>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</si>
  <si>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</si>
  <si>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</si>
  <si>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</si>
  <si>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</si>
  <si>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</si>
  <si>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</si>
  <si>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</si>
  <si>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</si>
  <si>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</si>
  <si>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</si>
  <si>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</si>
  <si>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</si>
  <si>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</si>
  <si>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</si>
  <si>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</si>
  <si>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</si>
  <si>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</si>
  <si>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</si>
  <si>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</si>
  <si>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</si>
  <si>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</si>
  <si>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</si>
  <si>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</si>
  <si>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</si>
  <si>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</si>
  <si>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</si>
  <si>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</si>
  <si>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</si>
  <si>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</si>
  <si>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</si>
  <si>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</si>
  <si>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</si>
  <si>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</si>
  <si>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</si>
  <si>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</si>
  <si>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</si>
  <si>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</si>
  <si>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</si>
  <si>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</si>
  <si>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</si>
  <si>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</si>
  <si>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</si>
  <si>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</si>
  <si>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</si>
  <si>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</si>
  <si>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</si>
  <si>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</si>
  <si>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</si>
  <si>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</si>
  <si>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</si>
  <si>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</si>
  <si>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</si>
  <si>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</si>
  <si>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</si>
  <si>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</si>
  <si>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</si>
  <si>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</si>
  <si>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</si>
  <si>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</si>
  <si>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</si>
  <si>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</si>
  <si>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</si>
  <si>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</si>
  <si>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</si>
  <si>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</si>
  <si>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</si>
  <si>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</si>
  <si>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</si>
  <si>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</si>
  <si>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</si>
  <si>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</si>
  <si>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</si>
  <si>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</si>
  <si>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</si>
  <si>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</si>
  <si>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</si>
  <si>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</si>
  <si>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</si>
  <si>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</si>
  <si>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</si>
  <si>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</si>
  <si>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</si>
  <si>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</si>
  <si>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</si>
  <si>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</si>
  <si>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</si>
  <si>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</si>
  <si>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</si>
  <si>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</si>
  <si>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</si>
  <si>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</si>
  <si>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</si>
  <si>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</si>
  <si>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</si>
  <si>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</si>
  <si>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</si>
  <si>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</si>
  <si>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</si>
  <si>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</si>
  <si>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</si>
  <si>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</si>
  <si>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</si>
  <si>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</si>
  <si>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</si>
  <si>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</si>
  <si>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</si>
  <si>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</si>
  <si>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</si>
  <si>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</si>
  <si>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</si>
  <si>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</si>
  <si>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Cap =</t>
  </si>
  <si>
    <t xml:space="preserve">daily opreational expenses = </t>
  </si>
  <si>
    <t xml:space="preserve">diulted number of shares = </t>
  </si>
  <si>
    <t xml:space="preserve">capital employed= </t>
  </si>
  <si>
    <t xml:space="preserve">   Total net sales</t>
  </si>
  <si>
    <t xml:space="preserve">   Gross margin</t>
  </si>
  <si>
    <t xml:space="preserve">   growth rate </t>
  </si>
  <si>
    <t xml:space="preserve">   Total shareholders’ equity</t>
  </si>
  <si>
    <t>long Term debt</t>
  </si>
  <si>
    <t>as a % of net sales for the following:</t>
  </si>
  <si>
    <t>calculate the following additional items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</si>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</sst>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"/>
    <numFmt numFmtId="167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6" fontId="0" fillId="0" borderId="0" xfId="0" applyNumberFormat="1"/>
    <xf numFmtId="2" fontId="0" fillId="0" borderId="0" xfId="0" applyNumberFormat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5" borderId="0" xfId="0" applyFont="1" applyFill="1"/>
    <xf numFmtId="0" fontId="0" fillId="0" borderId="0" xfId="0" applyFont="1" applyBorder="1"/>
    <xf numFmtId="9" fontId="0" fillId="0" borderId="0" xfId="3" applyFont="1"/>
    <xf numFmtId="9" fontId="0" fillId="0" borderId="0" xfId="3" applyNumberFormat="1" applyFont="1"/>
    <xf numFmtId="0" fontId="0" fillId="0" borderId="4" xfId="0" applyBorder="1"/>
    <xf numFmtId="2" fontId="0" fillId="0" borderId="4" xfId="0" applyNumberFormat="1" applyBorder="1"/>
    <xf numFmtId="3" fontId="0" fillId="0" borderId="4" xfId="0" applyNumberFormat="1" applyBorder="1"/>
    <xf numFmtId="4" fontId="0" fillId="0" borderId="4" xfId="0" applyNumberFormat="1" applyBorder="1"/>
    <xf numFmtId="0" fontId="0" fillId="0" borderId="0" xfId="0" applyBorder="1"/>
    <xf numFmtId="0" fontId="0" fillId="0" borderId="5" xfId="0" applyFont="1" applyBorder="1"/>
    <xf numFmtId="0" fontId="0" fillId="0" borderId="0" xfId="0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2" sqref="A22:A24"/>
    </sheetView>
  </sheetViews>
  <sheetFormatPr defaultRowHeight="14.4" x14ac:dyDescent="0.55000000000000004"/>
  <cols>
    <col min="1" max="1" width="104.5234375" customWidth="1"/>
  </cols>
  <sheetData>
    <row r="1" spans="1:1" ht="23.1" x14ac:dyDescent="0.85">
      <c r="A1" s="5" t="s">
        <v>87</v>
      </c>
    </row>
    <row r="3" spans="1:1" x14ac:dyDescent="0.55000000000000004">
      <c r="A3" s="7" t="s">
        <v>141</v>
      </c>
    </row>
    <row r="4" spans="1:1" x14ac:dyDescent="0.55000000000000004">
      <c r="A4" s="16" t="s">
        <v>88</v>
      </c>
    </row>
    <row r="5" spans="1:1" x14ac:dyDescent="0.55000000000000004">
      <c r="A5" s="7" t="s">
        <v>97</v>
      </c>
    </row>
    <row r="6" spans="1:1" x14ac:dyDescent="0.55000000000000004">
      <c r="A6" s="1" t="s">
        <v>148</v>
      </c>
    </row>
    <row r="7" spans="1:1" x14ac:dyDescent="0.55000000000000004">
      <c r="A7" s="1"/>
    </row>
    <row r="8" spans="1:1" x14ac:dyDescent="0.55000000000000004">
      <c r="A8" s="17" t="s">
        <v>149</v>
      </c>
    </row>
    <row r="9" spans="1:1" x14ac:dyDescent="0.55000000000000004">
      <c r="A9" s="1" t="s">
        <v>145</v>
      </c>
    </row>
    <row r="10" spans="1:1" x14ac:dyDescent="0.55000000000000004">
      <c r="A10" s="1" t="s">
        <v>89</v>
      </c>
    </row>
    <row r="11" spans="1:1" x14ac:dyDescent="0.55000000000000004">
      <c r="A11" s="1" t="s">
        <v>90</v>
      </c>
    </row>
    <row r="12" spans="1:1" x14ac:dyDescent="0.55000000000000004">
      <c r="A12" s="1" t="s">
        <v>91</v>
      </c>
    </row>
    <row r="13" spans="1:1" x14ac:dyDescent="0.55000000000000004">
      <c r="A13" s="1"/>
    </row>
    <row r="14" spans="1:1" x14ac:dyDescent="0.55000000000000004">
      <c r="A14" s="17" t="s">
        <v>92</v>
      </c>
    </row>
    <row r="15" spans="1:1" x14ac:dyDescent="0.55000000000000004">
      <c r="A15" s="1" t="s">
        <v>146</v>
      </c>
    </row>
    <row r="16" spans="1:1" x14ac:dyDescent="0.55000000000000004">
      <c r="A16" s="1" t="s">
        <v>89</v>
      </c>
    </row>
    <row r="17" spans="1:1" x14ac:dyDescent="0.55000000000000004">
      <c r="A17" s="1" t="s">
        <v>90</v>
      </c>
    </row>
    <row r="18" spans="1:1" x14ac:dyDescent="0.55000000000000004">
      <c r="A18" s="1" t="s">
        <v>14</v>
      </c>
    </row>
    <row r="19" spans="1:1" x14ac:dyDescent="0.55000000000000004">
      <c r="A19" s="1" t="s">
        <v>93</v>
      </c>
    </row>
    <row r="20" spans="1:1" x14ac:dyDescent="0.55000000000000004">
      <c r="A20" s="1"/>
    </row>
    <row r="21" spans="1:1" x14ac:dyDescent="0.55000000000000004">
      <c r="A21" s="17" t="s">
        <v>98</v>
      </c>
    </row>
    <row r="22" spans="1:1" x14ac:dyDescent="0.55000000000000004">
      <c r="A22" s="1" t="s">
        <v>94</v>
      </c>
    </row>
    <row r="23" spans="1:1" x14ac:dyDescent="0.55000000000000004">
      <c r="A23" s="1" t="s">
        <v>95</v>
      </c>
    </row>
    <row r="24" spans="1:1" x14ac:dyDescent="0.55000000000000004">
      <c r="A24" s="1" t="s">
        <v>96</v>
      </c>
    </row>
    <row r="25" spans="1:1" x14ac:dyDescent="0.55000000000000004">
      <c r="A25" s="1"/>
    </row>
    <row r="26" spans="1:1" x14ac:dyDescent="0.55000000000000004">
      <c r="A26" s="17" t="s">
        <v>144</v>
      </c>
    </row>
    <row r="27" spans="1:1" x14ac:dyDescent="0.55000000000000004">
      <c r="A27" s="16" t="s">
        <v>143</v>
      </c>
    </row>
    <row r="29" spans="1:1" x14ac:dyDescent="0.55000000000000004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E69" sqref="E69"/>
    </sheetView>
  </sheetViews>
  <sheetFormatPr defaultRowHeight="14.4" x14ac:dyDescent="0.55000000000000004"/>
  <cols>
    <col min="1" max="1" width="59" customWidth="1"/>
    <col min="2" max="3" width="11.5234375" bestFit="1" customWidth="1"/>
    <col min="4" max="4" width="11.68359375" bestFit="1" customWidth="1"/>
  </cols>
  <sheetData>
    <row r="1" spans="1:10" ht="60" customHeight="1" x14ac:dyDescent="0.55000000000000004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55000000000000004">
      <c r="A2" s="32" t="s">
        <v>1</v>
      </c>
      <c r="B2" s="32"/>
      <c r="C2" s="32"/>
      <c r="D2" s="32"/>
    </row>
    <row r="3" spans="1:10" x14ac:dyDescent="0.55000000000000004">
      <c r="B3" s="31" t="s">
        <v>23</v>
      </c>
      <c r="C3" s="31"/>
      <c r="D3" s="31"/>
    </row>
    <row r="4" spans="1:10" x14ac:dyDescent="0.55000000000000004">
      <c r="B4" s="7">
        <v>2022</v>
      </c>
      <c r="C4" s="7">
        <v>2021</v>
      </c>
      <c r="D4" s="7">
        <v>2020</v>
      </c>
      <c r="E4" s="45">
        <v>2019</v>
      </c>
    </row>
    <row r="5" spans="1:10" x14ac:dyDescent="0.55000000000000004">
      <c r="A5" t="s">
        <v>3</v>
      </c>
    </row>
    <row r="6" spans="1:10" x14ac:dyDescent="0.55000000000000004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55000000000000004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55000000000000004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">
        <v>260174</v>
      </c>
    </row>
    <row r="9" spans="1:10" x14ac:dyDescent="0.55000000000000004">
      <c r="A9" t="s">
        <v>7</v>
      </c>
      <c r="B9" s="12"/>
      <c r="C9" s="12"/>
      <c r="D9" s="12"/>
    </row>
    <row r="10" spans="1:10" x14ac:dyDescent="0.55000000000000004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55000000000000004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55000000000000004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55000000000000004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">
        <v>98392</v>
      </c>
    </row>
    <row r="14" spans="1:10" x14ac:dyDescent="0.55000000000000004">
      <c r="A14" t="s">
        <v>10</v>
      </c>
      <c r="B14" s="12"/>
      <c r="C14" s="12"/>
      <c r="D14" s="12"/>
    </row>
    <row r="15" spans="1:10" x14ac:dyDescent="0.55000000000000004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55000000000000004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4" x14ac:dyDescent="0.55000000000000004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55000000000000004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55000000000000004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55000000000000004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55000000000000004">
      <c r="A21" t="s">
        <v>17</v>
      </c>
      <c r="B21" s="12">
        <v>19300</v>
      </c>
      <c r="C21" s="12">
        <v>14527</v>
      </c>
      <c r="D21" s="12">
        <v>9680</v>
      </c>
    </row>
    <row r="22" spans="1:4" ht="14.7" thickBot="1" x14ac:dyDescent="0.6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4.7" thickTop="1" x14ac:dyDescent="0.55000000000000004">
      <c r="A23" t="s">
        <v>19</v>
      </c>
    </row>
    <row r="24" spans="1:4" x14ac:dyDescent="0.55000000000000004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55000000000000004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55000000000000004">
      <c r="A26" t="s">
        <v>22</v>
      </c>
    </row>
    <row r="27" spans="1:4" x14ac:dyDescent="0.55000000000000004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55000000000000004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55000000000000004">
      <c r="A31" s="32" t="s">
        <v>24</v>
      </c>
      <c r="B31" s="32"/>
      <c r="C31" s="32"/>
      <c r="D31" s="32"/>
    </row>
    <row r="32" spans="1:4" x14ac:dyDescent="0.55000000000000004">
      <c r="B32" s="31" t="s">
        <v>142</v>
      </c>
      <c r="C32" s="31"/>
      <c r="D32" s="31"/>
    </row>
    <row r="33" spans="1:5" x14ac:dyDescent="0.55000000000000004">
      <c r="B33" s="7">
        <f>+B4</f>
        <v>2022</v>
      </c>
      <c r="C33" s="7">
        <f>+C4</f>
        <v>2021</v>
      </c>
      <c r="D33" s="7">
        <f>+D4</f>
        <v>2020</v>
      </c>
      <c r="E33">
        <v>2019</v>
      </c>
    </row>
    <row r="35" spans="1:5" x14ac:dyDescent="0.55000000000000004">
      <c r="A35" t="s">
        <v>25</v>
      </c>
    </row>
    <row r="36" spans="1:5" x14ac:dyDescent="0.55000000000000004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55000000000000004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55000000000000004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55000000000000004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55000000000000004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55000000000000004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55000000000000004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5" x14ac:dyDescent="0.55000000000000004">
      <c r="A43" t="s">
        <v>48</v>
      </c>
      <c r="B43" s="12"/>
      <c r="C43" s="12"/>
      <c r="D43" s="12"/>
    </row>
    <row r="44" spans="1:5" x14ac:dyDescent="0.55000000000000004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55000000000000004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55000000000000004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55000000000000004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5" ht="14.7" thickBot="1" x14ac:dyDescent="0.6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5" ht="14.7" thickTop="1" x14ac:dyDescent="0.55000000000000004"/>
    <row r="50" spans="1:5" x14ac:dyDescent="0.55000000000000004">
      <c r="A50" t="s">
        <v>34</v>
      </c>
    </row>
    <row r="51" spans="1:5" x14ac:dyDescent="0.55000000000000004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55000000000000004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55000000000000004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55000000000000004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55000000000000004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55000000000000004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5" x14ac:dyDescent="0.55000000000000004">
      <c r="A57" t="s">
        <v>51</v>
      </c>
      <c r="B57" s="12"/>
      <c r="C57" s="12"/>
      <c r="D57" s="12"/>
    </row>
    <row r="58" spans="1:5" x14ac:dyDescent="0.55000000000000004">
      <c r="A58" s="1" t="s">
        <v>37</v>
      </c>
      <c r="B58" s="12"/>
      <c r="C58" s="12"/>
      <c r="D58" s="12"/>
    </row>
    <row r="59" spans="1:5" x14ac:dyDescent="0.55000000000000004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55000000000000004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55000000000000004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5" x14ac:dyDescent="0.55000000000000004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5" x14ac:dyDescent="0.55000000000000004">
      <c r="B63" s="12"/>
      <c r="C63" s="12"/>
      <c r="D63" s="12"/>
    </row>
    <row r="64" spans="1:5" x14ac:dyDescent="0.55000000000000004">
      <c r="A64" t="s">
        <v>42</v>
      </c>
      <c r="B64" s="12"/>
      <c r="C64" s="12"/>
      <c r="D64" s="12"/>
    </row>
    <row r="65" spans="1:5" x14ac:dyDescent="0.55000000000000004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55000000000000004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55000000000000004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55000000000000004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">
        <v>90488</v>
      </c>
    </row>
    <row r="69" spans="1:5" ht="14.7" thickBot="1" x14ac:dyDescent="0.6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5" ht="14.7" thickTop="1" x14ac:dyDescent="0.55000000000000004"/>
    <row r="71" spans="1:5" x14ac:dyDescent="0.55000000000000004">
      <c r="A71" s="32" t="s">
        <v>55</v>
      </c>
      <c r="B71" s="32"/>
      <c r="C71" s="32"/>
      <c r="D71" s="32"/>
    </row>
    <row r="72" spans="1:5" x14ac:dyDescent="0.55000000000000004">
      <c r="B72" s="31" t="s">
        <v>23</v>
      </c>
      <c r="C72" s="31"/>
      <c r="D72" s="31"/>
    </row>
    <row r="73" spans="1:5" x14ac:dyDescent="0.55000000000000004">
      <c r="B73" s="7">
        <f>+B33</f>
        <v>2022</v>
      </c>
      <c r="C73" s="7">
        <f>+C33</f>
        <v>2021</v>
      </c>
      <c r="D73" s="7">
        <f>+D33</f>
        <v>2020</v>
      </c>
    </row>
    <row r="75" spans="1:5" x14ac:dyDescent="0.55000000000000004">
      <c r="A75" s="7" t="s">
        <v>56</v>
      </c>
      <c r="B75" s="15"/>
      <c r="C75" s="15"/>
      <c r="D75" s="15"/>
    </row>
    <row r="76" spans="1:5" x14ac:dyDescent="0.55000000000000004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5" x14ac:dyDescent="0.55000000000000004">
      <c r="A77" s="11" t="s">
        <v>18</v>
      </c>
      <c r="B77" s="15"/>
      <c r="C77" s="15"/>
      <c r="D77" s="15"/>
    </row>
    <row r="78" spans="1:5" x14ac:dyDescent="0.55000000000000004">
      <c r="A78" s="1" t="s">
        <v>58</v>
      </c>
      <c r="B78" s="12"/>
      <c r="C78" s="12"/>
      <c r="D78" s="12"/>
    </row>
    <row r="79" spans="1:5" x14ac:dyDescent="0.55000000000000004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55000000000000004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55000000000000004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55000000000000004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55000000000000004">
      <c r="A83" t="s">
        <v>62</v>
      </c>
      <c r="B83" s="12"/>
      <c r="C83" s="12"/>
      <c r="D83" s="12"/>
    </row>
    <row r="84" spans="1:4" x14ac:dyDescent="0.55000000000000004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55000000000000004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55000000000000004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55000000000000004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55000000000000004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55000000000000004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55000000000000004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55000000000000004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55000000000000004">
      <c r="A92" s="7" t="s">
        <v>64</v>
      </c>
      <c r="B92" s="12"/>
      <c r="C92" s="12"/>
      <c r="D92" s="12"/>
    </row>
    <row r="93" spans="1:4" x14ac:dyDescent="0.55000000000000004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55000000000000004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55000000000000004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55000000000000004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55000000000000004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55000000000000004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55000000000000004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55000000000000004">
      <c r="A100" s="7" t="s">
        <v>71</v>
      </c>
      <c r="B100" s="12"/>
      <c r="C100" s="12"/>
      <c r="D100" s="12"/>
    </row>
    <row r="101" spans="1:4" x14ac:dyDescent="0.55000000000000004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5500000000000000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5500000000000000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55000000000000004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55000000000000004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55000000000000004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55000000000000004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55000000000000004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55000000000000004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4.7" thickBot="1" x14ac:dyDescent="0.6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4.7" thickTop="1" x14ac:dyDescent="0.55000000000000004">
      <c r="B111" s="12"/>
      <c r="C111" s="12"/>
      <c r="D111" s="12"/>
    </row>
    <row r="112" spans="1:4" x14ac:dyDescent="0.55000000000000004">
      <c r="A112" t="s">
        <v>80</v>
      </c>
      <c r="B112" s="12"/>
      <c r="C112" s="12"/>
      <c r="D112" s="12"/>
    </row>
    <row r="113" spans="1:4" x14ac:dyDescent="0.55000000000000004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5500000000000000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tabSelected="1" zoomScale="71" workbookViewId="0">
      <selection activeCell="G10" sqref="G10"/>
    </sheetView>
  </sheetViews>
  <sheetFormatPr defaultRowHeight="14.4" x14ac:dyDescent="0.55000000000000004"/>
  <cols>
    <col min="1" max="1" width="4.68359375" customWidth="1"/>
    <col min="2" max="2" width="44.89453125" customWidth="1"/>
    <col min="3" max="3" width="13.20703125" bestFit="1" customWidth="1"/>
    <col min="4" max="5" width="12" bestFit="1" customWidth="1"/>
    <col min="6" max="6" width="23.7890625" customWidth="1"/>
    <col min="7" max="9" width="11.68359375" bestFit="1" customWidth="1"/>
    <col min="10" max="10" width="10.578125" customWidth="1"/>
    <col min="11" max="11" width="30.47265625" bestFit="1" customWidth="1"/>
    <col min="12" max="12" width="9.1015625" bestFit="1" customWidth="1"/>
  </cols>
  <sheetData>
    <row r="1" spans="1:16" ht="60" customHeight="1" x14ac:dyDescent="0.9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55000000000000004">
      <c r="C2" s="31" t="s">
        <v>23</v>
      </c>
      <c r="D2" s="31"/>
      <c r="E2" s="31"/>
      <c r="J2" s="39"/>
      <c r="L2" s="31" t="s">
        <v>23</v>
      </c>
      <c r="M2" s="31"/>
      <c r="N2" s="31"/>
    </row>
    <row r="3" spans="1:16" x14ac:dyDescent="0.55000000000000004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J3" s="39"/>
      <c r="L3" s="7">
        <f>C3</f>
        <v>2022</v>
      </c>
      <c r="M3" s="7">
        <f t="shared" ref="M3:N3" si="0">D3</f>
        <v>2021</v>
      </c>
      <c r="N3" s="7">
        <f t="shared" si="0"/>
        <v>2020</v>
      </c>
    </row>
    <row r="4" spans="1:16" x14ac:dyDescent="0.55000000000000004">
      <c r="A4" s="18">
        <v>1</v>
      </c>
      <c r="B4" s="25" t="s">
        <v>99</v>
      </c>
      <c r="C4" s="26"/>
      <c r="D4" s="26"/>
      <c r="E4" s="26"/>
      <c r="J4" s="39"/>
      <c r="K4" s="35" t="s">
        <v>156</v>
      </c>
      <c r="L4" s="26"/>
      <c r="M4" s="26"/>
      <c r="N4" s="26"/>
    </row>
    <row r="5" spans="1:16" x14ac:dyDescent="0.55000000000000004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J5" s="39"/>
      <c r="K5" s="1" t="s">
        <v>4</v>
      </c>
      <c r="L5" s="28">
        <f>'Financial Statements'!B6/'Financial Statements'!C6-1</f>
        <v>6.3239764351428418E-2</v>
      </c>
      <c r="M5" s="28">
        <f>'Financial Statements'!C6/'Financial Statements'!D6-1</f>
        <v>0.34720743656765429</v>
      </c>
      <c r="N5" s="38">
        <f>'Financial Statements'!D6/'Financial Statements'!E6-1</f>
        <v>3.2092312151970948E-2</v>
      </c>
    </row>
    <row r="6" spans="1:16" x14ac:dyDescent="0.55000000000000004">
      <c r="A6" s="18">
        <f t="shared" ref="A6:A13" si="1">+A5+0.1</f>
        <v>1.2000000000000002</v>
      </c>
      <c r="B6" s="1" t="s">
        <v>101</v>
      </c>
      <c r="C6" s="24">
        <f>('Financial Statements'!B42-'Financial Statements'!B39)/'Financial Statements'!B62</f>
        <v>0.4318647524024854</v>
      </c>
      <c r="D6" s="24">
        <f>('Financial Statements'!C42-'Financial Statements'!C39)/'Financial Statements'!C62</f>
        <v>0.44546944899830504</v>
      </c>
      <c r="E6" s="24">
        <f>('Financial Statements'!D42-'Financial Statements'!D39)/'Financial Statements'!D62</f>
        <v>0.54013745943708924</v>
      </c>
      <c r="J6" s="39"/>
      <c r="K6" s="1" t="s">
        <v>5</v>
      </c>
      <c r="L6" s="28">
        <f>'Financial Statements'!B7/'Financial Statements'!C7-1</f>
        <v>0.14181951041286078</v>
      </c>
      <c r="M6" s="28">
        <f>'Financial Statements'!C7/'Financial Statements'!D7-1</f>
        <v>0.27259708376729663</v>
      </c>
      <c r="N6" s="38">
        <f>'Financial Statements'!D7/'Financial Statements'!E7-1</f>
        <v>0.16152167807997242</v>
      </c>
    </row>
    <row r="7" spans="1:16" x14ac:dyDescent="0.55000000000000004">
      <c r="A7" s="18">
        <f t="shared" si="1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G7">
        <v>2022</v>
      </c>
      <c r="H7">
        <v>2021</v>
      </c>
      <c r="I7">
        <v>2020</v>
      </c>
      <c r="J7" s="39"/>
      <c r="K7" s="36" t="s">
        <v>154</v>
      </c>
      <c r="L7" s="28">
        <f>'Financial Statements'!B8/'Financial Statements'!C8-1</f>
        <v>7.7937876041846099E-2</v>
      </c>
      <c r="M7" s="28">
        <f>'Financial Statements'!C8/'Financial Statements'!D8-1</f>
        <v>0.33259384733074704</v>
      </c>
      <c r="N7" s="38">
        <f>'Financial Statements'!D8/'Financial Statements'!E8-1</f>
        <v>5.5120803769784787E-2</v>
      </c>
    </row>
    <row r="8" spans="1:16" x14ac:dyDescent="0.55000000000000004">
      <c r="A8" s="18">
        <f t="shared" si="1"/>
        <v>1.4000000000000004</v>
      </c>
      <c r="B8" s="1" t="s">
        <v>103</v>
      </c>
      <c r="C8" s="24">
        <f>'Financial Statements'!B42/'List of Ratios'!G8</f>
        <v>1228.1708953554833</v>
      </c>
      <c r="D8" s="24">
        <f>'Financial Statements'!C42/'List of Ratios'!H8</f>
        <v>1509.5279575499187</v>
      </c>
      <c r="E8" s="24">
        <f>'Financial Statements'!D42/'List of Ratios'!I8</f>
        <v>1899.7263870780819</v>
      </c>
      <c r="F8" s="34" t="s">
        <v>151</v>
      </c>
      <c r="G8" s="24">
        <f>('Financial Statements'!B17-'Financial Statements'!B79)/365</f>
        <v>110.24931506849315</v>
      </c>
      <c r="H8" s="24">
        <f>('Financial Statements'!C17-'Financial Statements'!C79)/365</f>
        <v>89.323287671232876</v>
      </c>
      <c r="I8" s="24">
        <f>('Financial Statements'!D17-'Financial Statements'!D79)/365</f>
        <v>75.649315068493152</v>
      </c>
      <c r="J8" s="40"/>
      <c r="K8" s="36" t="s">
        <v>155</v>
      </c>
      <c r="L8" s="28">
        <f>'Financial Statements'!B13/'Financial Statements'!C13-1</f>
        <v>0.1174199795859614</v>
      </c>
      <c r="M8" s="28">
        <f>'Financial Statements'!C13/'Financial Statements'!D13-1</f>
        <v>0.45619116582186825</v>
      </c>
      <c r="N8" s="37">
        <f>'Financial Statements'!D13/'Financial Statements'!E13-1</f>
        <v>6.6712740873241749E-2</v>
      </c>
    </row>
    <row r="9" spans="1:16" x14ac:dyDescent="0.55000000000000004">
      <c r="A9" s="18">
        <f t="shared" si="1"/>
        <v>1.5000000000000004</v>
      </c>
      <c r="B9" s="1" t="s">
        <v>104</v>
      </c>
      <c r="C9" s="24">
        <f>'Financial Statements'!B12/'Financial Statements'!B39</f>
        <v>45.197331176708452</v>
      </c>
      <c r="D9" s="24">
        <f>'Financial Statements'!C12/'Financial Statements'!C39</f>
        <v>32.367933130699086</v>
      </c>
      <c r="E9" s="24">
        <f>'Financial Statements'!D12/'Financial Statements'!D39</f>
        <v>41.753016498399411</v>
      </c>
      <c r="F9" s="34"/>
      <c r="J9" s="39"/>
      <c r="K9" s="1" t="s">
        <v>11</v>
      </c>
      <c r="L9" s="28">
        <f>'Financial Statements'!B15/'Financial Statements'!C15-1</f>
        <v>0.19791001186456136</v>
      </c>
      <c r="M9" s="28">
        <f>'Financial Statements'!C15/'Financial Statements'!D15-1</f>
        <v>0.16862201365187723</v>
      </c>
      <c r="N9" s="37">
        <f>'Financial Statements'!D15/'Financial Statements'!E15-1</f>
        <v>0.15631744465684161</v>
      </c>
    </row>
    <row r="10" spans="1:16" x14ac:dyDescent="0.55000000000000004">
      <c r="A10" s="18">
        <f t="shared" si="1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  <c r="F10" s="34"/>
      <c r="G10" t="s">
        <v>161</v>
      </c>
      <c r="J10" s="39"/>
      <c r="K10" s="1" t="s">
        <v>12</v>
      </c>
      <c r="L10" s="28">
        <f>'Financial Statements'!B16/'Financial Statements'!C16-1</f>
        <v>0.14203795567287125</v>
      </c>
      <c r="M10" s="28">
        <f>'Financial Statements'!C16/'Financial Statements'!D16-1</f>
        <v>0.10328379192608961</v>
      </c>
      <c r="N10" s="37">
        <f>'Financial Statements'!D16/'Financial Statements'!E16-1</f>
        <v>9.1586736092080123E-2</v>
      </c>
    </row>
    <row r="11" spans="1:16" x14ac:dyDescent="0.55000000000000004">
      <c r="A11" s="18">
        <f t="shared" si="1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  <c r="F11" s="34"/>
      <c r="J11" s="39"/>
      <c r="K11" s="1" t="s">
        <v>26</v>
      </c>
      <c r="L11" s="28">
        <f>'Financial Statements'!B36/'Financial Statements'!C36-1</f>
        <v>-0.32323983972524328</v>
      </c>
      <c r="M11" s="28">
        <f>'Financial Statements'!C36/'Financial Statements'!D36-1</f>
        <v>-8.0913299663299632E-2</v>
      </c>
      <c r="N11" s="37">
        <f>'Financial Statements'!D36/'Financial Statements'!E36-1</f>
        <v>-0.22168536565391861</v>
      </c>
    </row>
    <row r="12" spans="1:16" x14ac:dyDescent="0.55000000000000004">
      <c r="A12" s="18">
        <f t="shared" si="1"/>
        <v>1.8000000000000007</v>
      </c>
      <c r="B12" s="1" t="s">
        <v>107</v>
      </c>
      <c r="C12" s="24">
        <f>C9+C11-C10</f>
        <v>-33.400120762740286</v>
      </c>
      <c r="D12" s="24">
        <f t="shared" ref="D12:E12" si="2">D9+D11-D10</f>
        <v>-35.263826249903303</v>
      </c>
      <c r="E12" s="24">
        <f t="shared" si="2"/>
        <v>-27.861736064478038</v>
      </c>
      <c r="F12" s="34"/>
      <c r="J12" s="39"/>
      <c r="K12" s="1" t="s">
        <v>28</v>
      </c>
      <c r="L12" s="28">
        <f>'Financial Statements'!B38/'Financial Statements'!C38-1</f>
        <v>7.2532156176269069E-2</v>
      </c>
      <c r="M12" s="28">
        <f>'Financial Statements'!C38/'Financial Statements'!D38-1</f>
        <v>0.63014888337468977</v>
      </c>
      <c r="N12" s="28">
        <f>'Financial Statements'!D38/'Financial Statements'!E38-1</f>
        <v>-0.29686818459391084</v>
      </c>
    </row>
    <row r="13" spans="1:16" x14ac:dyDescent="0.55000000000000004">
      <c r="A13" s="18">
        <f t="shared" si="1"/>
        <v>1.9000000000000008</v>
      </c>
      <c r="B13" s="1" t="s">
        <v>108</v>
      </c>
      <c r="C13" s="24">
        <f>'Financial Statements'!B8/-'List of Ratios'!C14</f>
        <v>1.3610376700744842</v>
      </c>
      <c r="D13" s="24">
        <f>'Financial Statements'!C8/-'List of Ratios'!D14</f>
        <v>1.3395768335017797</v>
      </c>
      <c r="E13" s="24">
        <f>'Financial Statements'!D8/-'List of Ratios'!E14</f>
        <v>1.1328848812496131</v>
      </c>
      <c r="F13" s="34"/>
      <c r="J13" s="39"/>
      <c r="K13" s="1" t="s">
        <v>29</v>
      </c>
      <c r="L13" s="28">
        <f>'Financial Statements'!B39/'Financial Statements'!C39-1</f>
        <v>-0.2483282674772036</v>
      </c>
      <c r="M13" s="28">
        <f>'Financial Statements'!C39/'Financial Statements'!D39-1</f>
        <v>0.62029056882541256</v>
      </c>
      <c r="N13" s="28">
        <f>'Financial Statements'!D39/'Financial Statements'!E39-1</f>
        <v>-1.0959571358986842E-2</v>
      </c>
    </row>
    <row r="14" spans="1:16" x14ac:dyDescent="0.55000000000000004">
      <c r="A14" s="18"/>
      <c r="B14" s="3" t="s">
        <v>109</v>
      </c>
      <c r="C14" s="24">
        <f>'Financial Statements'!B85+'Financial Statements'!B84-'Financial Statements'!B42-'Financial Statements'!B56</f>
        <v>-289726</v>
      </c>
      <c r="D14" s="24">
        <f>'Financial Statements'!C85+'Financial Statements'!C84-'Financial Statements'!C42-'Financial Statements'!C56</f>
        <v>-273084</v>
      </c>
      <c r="E14" s="24">
        <f>'Financial Statements'!D85+'Financial Statements'!D84-'Financial Statements'!D42-'Financial Statements'!D56</f>
        <v>-242315</v>
      </c>
      <c r="F14" s="34"/>
      <c r="J14" s="39"/>
      <c r="K14" s="1" t="s">
        <v>32</v>
      </c>
      <c r="L14" s="28">
        <f>'Financial Statements'!B45/'Financial Statements'!C45-1</f>
        <v>6.7875253549695813E-2</v>
      </c>
      <c r="M14" s="28">
        <f>'Financial Statements'!C45/'Financial Statements'!D45-1</f>
        <v>7.2730239895555604E-2</v>
      </c>
      <c r="N14" s="28">
        <f>'Financial Statements'!D45/'Financial Statements'!E45-1</f>
        <v>-1.6373267697576077E-2</v>
      </c>
    </row>
    <row r="15" spans="1:16" x14ac:dyDescent="0.55000000000000004">
      <c r="A15" s="18"/>
      <c r="F15" s="34"/>
      <c r="J15" s="39"/>
      <c r="K15" s="1" t="s">
        <v>35</v>
      </c>
      <c r="L15" s="28">
        <f>'Financial Statements'!B51/'Financial Statements'!C51-1</f>
        <v>0.17077223672917841</v>
      </c>
      <c r="M15" s="28">
        <f>'Financial Statements'!C51/'Financial Statements'!D51-1</f>
        <v>0.29475600529600898</v>
      </c>
      <c r="N15" s="28">
        <f>'Financial Statements'!D51/'Financial Statements'!E51-1</f>
        <v>-8.5214983995155258E-2</v>
      </c>
    </row>
    <row r="16" spans="1:16" x14ac:dyDescent="0.55000000000000004">
      <c r="A16" s="18">
        <f>+A4+1</f>
        <v>2</v>
      </c>
      <c r="B16" s="27" t="s">
        <v>110</v>
      </c>
      <c r="C16" s="26"/>
      <c r="D16" s="26"/>
      <c r="E16" s="26"/>
      <c r="F16" s="34"/>
      <c r="J16" s="39"/>
      <c r="K16" s="1" t="s">
        <v>158</v>
      </c>
      <c r="L16" s="28">
        <f>'Financial Statements'!B59/'Financial Statements'!C59-1</f>
        <v>-9.3001301486627663E-2</v>
      </c>
      <c r="M16" s="28">
        <f>'Financial Statements'!C59/'Financial Statements'!D59-1</f>
        <v>0.10580031824216807</v>
      </c>
      <c r="N16" s="28">
        <f>'Financial Statements'!D59/'Financial Statements'!E59-1</f>
        <v>7.4721971091529005E-2</v>
      </c>
    </row>
    <row r="17" spans="1:14" x14ac:dyDescent="0.55000000000000004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  <c r="F17" s="34"/>
      <c r="J17" s="43"/>
      <c r="K17" s="44" t="s">
        <v>157</v>
      </c>
      <c r="L17" s="28">
        <f>'Financial Statements'!B68/'Financial Statements'!C68-1</f>
        <v>-0.19682992550324929</v>
      </c>
      <c r="M17" s="28">
        <f>'Financial Statements'!C68/'Financial Statements'!D68-1</f>
        <v>-3.4420483937617652E-2</v>
      </c>
      <c r="N17" s="28">
        <f>'Financial Statements'!D68/'Financial Statements'!E68-1</f>
        <v>-0.27792635487578465</v>
      </c>
    </row>
    <row r="18" spans="1:14" x14ac:dyDescent="0.55000000000000004">
      <c r="A18" s="18">
        <f>+A17+0.1</f>
        <v>2.2000000000000002</v>
      </c>
      <c r="B18" s="1" t="s">
        <v>111</v>
      </c>
      <c r="C18" s="28">
        <f>C19/'Financial Statements'!B8</f>
        <v>0.3310467428130896</v>
      </c>
      <c r="D18" s="28">
        <f>D19/'Financial Statements'!C8</f>
        <v>0.32866979938056462</v>
      </c>
      <c r="E18" s="28">
        <f>E19/'Financial Statements'!D8</f>
        <v>0.2817478097736007</v>
      </c>
      <c r="F18" s="34"/>
      <c r="J18" s="39"/>
    </row>
    <row r="19" spans="1:14" x14ac:dyDescent="0.55000000000000004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F19" s="34"/>
      <c r="J19" s="39"/>
      <c r="L19" s="7">
        <f>C3</f>
        <v>2022</v>
      </c>
      <c r="M19" s="7">
        <f t="shared" ref="M19:N19" si="3">D3</f>
        <v>2021</v>
      </c>
      <c r="N19" s="7">
        <f t="shared" si="3"/>
        <v>2020</v>
      </c>
    </row>
    <row r="20" spans="1:14" x14ac:dyDescent="0.55000000000000004">
      <c r="A20" s="18">
        <f>+A18+0.1</f>
        <v>2.3000000000000003</v>
      </c>
      <c r="B20" s="1" t="s">
        <v>113</v>
      </c>
      <c r="C20" s="28">
        <f>C21/'Financial Statements'!B8</f>
        <v>0.30288744395528594</v>
      </c>
      <c r="D20" s="28">
        <f>D21/'Financial Statements'!C8</f>
        <v>0.29782377527561593</v>
      </c>
      <c r="E20" s="28">
        <f>E21/'Financial Statements'!D8</f>
        <v>0.24147314354406862</v>
      </c>
      <c r="F20" s="34"/>
      <c r="J20" s="39"/>
      <c r="K20" s="35" t="s">
        <v>159</v>
      </c>
      <c r="L20" s="26"/>
      <c r="M20" s="26"/>
      <c r="N20" s="26"/>
    </row>
    <row r="21" spans="1:14" x14ac:dyDescent="0.55000000000000004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F21" s="34"/>
      <c r="J21" s="39"/>
      <c r="K21" s="1" t="s">
        <v>146</v>
      </c>
      <c r="L21" s="28">
        <f>'Financial Statements'!B12/'Financial Statements'!B8</f>
        <v>0.56690369438639909</v>
      </c>
      <c r="M21" s="28">
        <f>'Financial Statements'!C12/'Financial Statements'!C8</f>
        <v>0.58220640374832222</v>
      </c>
      <c r="N21" s="28">
        <f>'Financial Statements'!D12/'Financial Statements'!D8</f>
        <v>0.61766752272189129</v>
      </c>
    </row>
    <row r="22" spans="1:14" x14ac:dyDescent="0.55000000000000004">
      <c r="A22" s="18">
        <f>+A20+0.1</f>
        <v>2.4000000000000004</v>
      </c>
      <c r="B22" s="1" t="s">
        <v>115</v>
      </c>
      <c r="C22" s="29">
        <f>'Financial Statements'!B22/'Financial Statements'!B8</f>
        <v>0.25309640705199732</v>
      </c>
      <c r="D22" s="29">
        <f>'Financial Statements'!C22/'Financial Statements'!C8</f>
        <v>0.25881793355694238</v>
      </c>
      <c r="E22" s="29">
        <f>'Financial Statements'!D22/'Financial Statements'!D8</f>
        <v>0.20913611278072236</v>
      </c>
      <c r="F22" s="34"/>
      <c r="J22" s="39"/>
      <c r="K22" s="1" t="s">
        <v>89</v>
      </c>
      <c r="L22" s="28">
        <f>'Financial Statements'!B13/'Financial Statements'!B8</f>
        <v>0.43309630561360085</v>
      </c>
      <c r="M22" s="28">
        <f>'Financial Statements'!C13/'Financial Statements'!C8</f>
        <v>0.41779359625167778</v>
      </c>
      <c r="N22" s="28">
        <f>'Financial Statements'!D13/'Financial Statements'!D8</f>
        <v>0.38233247727810865</v>
      </c>
    </row>
    <row r="23" spans="1:14" x14ac:dyDescent="0.55000000000000004">
      <c r="A23" s="18"/>
      <c r="F23" s="34"/>
      <c r="J23" s="39"/>
      <c r="K23" s="1" t="s">
        <v>11</v>
      </c>
      <c r="L23" s="28">
        <f>'Financial Statements'!B15/'Financial Statements'!B8</f>
        <v>6.657148363798665E-2</v>
      </c>
      <c r="M23" s="28">
        <f>'Financial Statements'!C15/'Financial Statements'!C8</f>
        <v>5.9904269074427925E-2</v>
      </c>
      <c r="N23" s="28">
        <f>'Financial Statements'!D15/'Financial Statements'!D8</f>
        <v>6.8309564140393061E-2</v>
      </c>
    </row>
    <row r="24" spans="1:14" x14ac:dyDescent="0.55000000000000004">
      <c r="A24" s="18">
        <f>+A16+1</f>
        <v>3</v>
      </c>
      <c r="B24" s="25" t="s">
        <v>116</v>
      </c>
      <c r="C24" s="26"/>
      <c r="D24" s="26"/>
      <c r="E24" s="26"/>
      <c r="F24" s="34"/>
      <c r="J24" s="39"/>
      <c r="K24" s="1" t="s">
        <v>12</v>
      </c>
      <c r="L24" s="28">
        <f>'Financial Statements'!B16/'Financial Statements'!B8</f>
        <v>6.3637378020328261E-2</v>
      </c>
      <c r="M24" s="28">
        <f>'Financial Statements'!C16/'Financial Statements'!C8</f>
        <v>6.006555190163388E-2</v>
      </c>
      <c r="N24" s="28">
        <f>'Financial Statements'!D16/'Financial Statements'!D8</f>
        <v>7.2549769593646979E-2</v>
      </c>
    </row>
    <row r="25" spans="1:14" x14ac:dyDescent="0.55000000000000004">
      <c r="A25" s="18">
        <f t="shared" ref="A25:A30" si="4"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  <c r="F25" s="34"/>
      <c r="J25" s="39"/>
      <c r="K25" s="1" t="s">
        <v>14</v>
      </c>
      <c r="L25" s="28">
        <f>'Financial Statements'!B18/'Financial Statements'!B8</f>
        <v>0.30288744395528594</v>
      </c>
      <c r="M25" s="28">
        <f>'Financial Statements'!C18/'Financial Statements'!C8</f>
        <v>0.29782377527561593</v>
      </c>
      <c r="N25" s="28">
        <f>'Financial Statements'!D18/'Financial Statements'!D8</f>
        <v>0.24147314354406862</v>
      </c>
    </row>
    <row r="26" spans="1:14" x14ac:dyDescent="0.55000000000000004">
      <c r="A26" s="18">
        <f t="shared" si="4"/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  <c r="F26" s="34"/>
      <c r="J26" s="39"/>
      <c r="K26" s="1" t="s">
        <v>93</v>
      </c>
      <c r="L26" s="28">
        <f>'Financial Statements'!B22/'Financial Statements'!B8</f>
        <v>0.25309640705199732</v>
      </c>
      <c r="M26" s="28">
        <f>'Financial Statements'!C22/'Financial Statements'!C8</f>
        <v>0.25881793355694238</v>
      </c>
      <c r="N26" s="28">
        <f>'Financial Statements'!D22/'Financial Statements'!D8</f>
        <v>0.20913611278072236</v>
      </c>
    </row>
    <row r="27" spans="1:14" x14ac:dyDescent="0.55000000000000004">
      <c r="A27" s="18">
        <f t="shared" si="4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  <c r="F27" s="34"/>
      <c r="J27" s="39"/>
    </row>
    <row r="28" spans="1:14" x14ac:dyDescent="0.55000000000000004">
      <c r="A28" s="18">
        <f t="shared" si="4"/>
        <v>3.4000000000000004</v>
      </c>
      <c r="B28" s="1" t="s">
        <v>120</v>
      </c>
      <c r="C28" s="24">
        <f>C21/'Financial Statements'!B114</f>
        <v>41.68830715532286</v>
      </c>
      <c r="D28" s="24">
        <f>D21/'Financial Statements'!C114</f>
        <v>40.546706363974693</v>
      </c>
      <c r="E28" s="24">
        <f>E21/'Financial Statements'!D114</f>
        <v>22.081279147235175</v>
      </c>
      <c r="F28" s="34"/>
      <c r="J28" s="39"/>
      <c r="L28" s="7">
        <f>C3</f>
        <v>2022</v>
      </c>
      <c r="M28" s="7">
        <f t="shared" ref="M28:N28" si="5">D3</f>
        <v>2021</v>
      </c>
      <c r="N28" s="7">
        <f t="shared" si="5"/>
        <v>2020</v>
      </c>
    </row>
    <row r="29" spans="1:14" x14ac:dyDescent="0.55000000000000004">
      <c r="A29" s="18">
        <f t="shared" si="4"/>
        <v>3.5000000000000004</v>
      </c>
      <c r="B29" s="1" t="s">
        <v>121</v>
      </c>
      <c r="C29" s="24">
        <f>'Financial Statements'!B22/('Financial Statements'!B21+'Financial Statements'!B105)</f>
        <v>10.228861330326945</v>
      </c>
      <c r="D29" s="24">
        <f>'Financial Statements'!C22/('Financial Statements'!C21+'Financial Statements'!C105)</f>
        <v>16.389129305868099</v>
      </c>
      <c r="E29" s="24">
        <f>'Financial Statements'!D22/('Financial Statements'!D21+'Financial Statements'!D105)</f>
        <v>-19.467955239064089</v>
      </c>
      <c r="F29" s="34"/>
      <c r="J29" s="39"/>
      <c r="K29" s="35" t="s">
        <v>160</v>
      </c>
      <c r="L29" s="35"/>
      <c r="M29" s="35"/>
      <c r="N29" s="35"/>
    </row>
    <row r="30" spans="1:14" x14ac:dyDescent="0.55000000000000004">
      <c r="A30" s="18">
        <f t="shared" si="4"/>
        <v>3.6000000000000005</v>
      </c>
      <c r="B30" s="1" t="s">
        <v>122</v>
      </c>
      <c r="C30" s="24">
        <f>C31/G41</f>
        <v>8.4727142938433904</v>
      </c>
      <c r="D30" s="24">
        <f>D31/H41</f>
        <v>8.0353780531053829</v>
      </c>
      <c r="E30" s="24">
        <f>E31/I41</f>
        <v>5.9375130860451613</v>
      </c>
      <c r="F30" s="34"/>
      <c r="J30" s="39"/>
      <c r="K30" s="1" t="s">
        <v>94</v>
      </c>
      <c r="L30" s="28">
        <f>'Financial Statements'!B21/'Financial Statements'!B20</f>
        <v>0.16204461684424407</v>
      </c>
      <c r="M30" s="28">
        <f>'Financial Statements'!C21/'Financial Statements'!C20</f>
        <v>0.13302260844085087</v>
      </c>
      <c r="N30" s="28">
        <f>'Financial Statements'!D21/'Financial Statements'!D20</f>
        <v>0.14428164731484103</v>
      </c>
    </row>
    <row r="31" spans="1:14" x14ac:dyDescent="0.55000000000000004">
      <c r="A31" s="18"/>
      <c r="B31" s="3" t="s">
        <v>123</v>
      </c>
      <c r="C31" s="2">
        <f>'Financial Statements'!B91-'Financial Statements'!B96+'Financial Statements'!B104</f>
        <v>138324</v>
      </c>
      <c r="D31" s="2">
        <f>'Financial Statements'!C91-'Financial Statements'!C96+'Financial Statements'!C104</f>
        <v>135516</v>
      </c>
      <c r="E31" s="2">
        <f>'Financial Statements'!D91-'Financial Statements'!D96+'Financial Statements'!D104</f>
        <v>104074</v>
      </c>
      <c r="F31" s="34"/>
      <c r="G31" s="2"/>
      <c r="H31" s="2"/>
      <c r="I31" s="2"/>
      <c r="J31" s="41"/>
      <c r="K31" s="1" t="s">
        <v>95</v>
      </c>
      <c r="L31" s="28">
        <f>-'Financial Statements'!B96/'Financial Statements'!B8</f>
        <v>2.7155058732831552E-2</v>
      </c>
      <c r="M31" s="28">
        <f>-'Financial Statements'!C96/'Financial Statements'!C8</f>
        <v>3.0302036264033657E-2</v>
      </c>
      <c r="N31" s="28">
        <f>-'Financial Statements'!D96/'Financial Statements'!D8</f>
        <v>2.6625138881299748E-2</v>
      </c>
    </row>
    <row r="32" spans="1:14" x14ac:dyDescent="0.55000000000000004">
      <c r="A32" s="18"/>
      <c r="F32" s="34"/>
      <c r="J32" s="39"/>
      <c r="K32" s="1" t="s">
        <v>96</v>
      </c>
      <c r="L32" s="28">
        <f>-'Financial Statements'!B96/'Financial Statements'!B42</f>
        <v>7.9081274694435211E-2</v>
      </c>
      <c r="M32" s="28">
        <f>-'Financial Statements'!C96/'Financial Statements'!C42</f>
        <v>8.221098223026492E-2</v>
      </c>
      <c r="N32" s="28">
        <f>-'Financial Statements'!D96/'Financial Statements'!D42</f>
        <v>5.0858307877505865E-2</v>
      </c>
    </row>
    <row r="33" spans="1:10" x14ac:dyDescent="0.55000000000000004">
      <c r="A33" s="18">
        <f>+A24+1</f>
        <v>4</v>
      </c>
      <c r="B33" s="27" t="s">
        <v>124</v>
      </c>
      <c r="C33" s="26"/>
      <c r="D33" s="26"/>
      <c r="E33" s="26"/>
      <c r="F33" s="34"/>
      <c r="J33" s="39"/>
    </row>
    <row r="34" spans="1:10" x14ac:dyDescent="0.55000000000000004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  <c r="F34" s="34"/>
      <c r="J34" s="39"/>
    </row>
    <row r="35" spans="1:10" x14ac:dyDescent="0.55000000000000004">
      <c r="A35" s="18">
        <f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  <c r="F35" s="34"/>
      <c r="J35" s="39"/>
    </row>
    <row r="36" spans="1:10" x14ac:dyDescent="0.55000000000000004">
      <c r="A36" s="18">
        <f>+A35+0.1</f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  <c r="F36" s="34"/>
      <c r="J36" s="39"/>
    </row>
    <row r="37" spans="1:10" x14ac:dyDescent="0.55000000000000004">
      <c r="A37" s="18">
        <f>+A36+0.1</f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  <c r="F37" s="34"/>
      <c r="J37" s="39"/>
    </row>
    <row r="38" spans="1:10" x14ac:dyDescent="0.55000000000000004">
      <c r="A38" s="18"/>
      <c r="F38" s="34"/>
      <c r="J38" s="39"/>
    </row>
    <row r="39" spans="1:10" x14ac:dyDescent="0.55000000000000004">
      <c r="A39" s="18">
        <f>+A33+1</f>
        <v>5</v>
      </c>
      <c r="B39" s="27" t="s">
        <v>129</v>
      </c>
      <c r="C39" s="26"/>
      <c r="D39" s="26"/>
      <c r="E39" s="26"/>
      <c r="F39" s="34"/>
      <c r="J39" s="39"/>
    </row>
    <row r="40" spans="1:10" x14ac:dyDescent="0.55000000000000004">
      <c r="A40" s="18">
        <f>+A39+0.1</f>
        <v>5.0999999999999996</v>
      </c>
      <c r="B40" s="1" t="s">
        <v>130</v>
      </c>
      <c r="C40" s="24">
        <f>197.57/C41</f>
        <v>32.318588217087658</v>
      </c>
      <c r="D40" s="24">
        <f>197.57/D41</f>
        <v>35.192248065378116</v>
      </c>
      <c r="E40" s="24">
        <f>197.57/E41</f>
        <v>60.320308651303748</v>
      </c>
      <c r="F40" s="34"/>
      <c r="G40">
        <v>2022</v>
      </c>
      <c r="H40">
        <v>2021</v>
      </c>
      <c r="I40">
        <v>2020</v>
      </c>
      <c r="J40" s="39"/>
    </row>
    <row r="41" spans="1:10" x14ac:dyDescent="0.55000000000000004">
      <c r="A41" s="18">
        <f>+A40+0.1</f>
        <v>5.1999999999999993</v>
      </c>
      <c r="B41" s="3" t="s">
        <v>131</v>
      </c>
      <c r="C41" s="23">
        <f>'Financial Statements'!B22/'List of Ratios'!G41</f>
        <v>6.1132002014722815</v>
      </c>
      <c r="D41" s="23">
        <f>'Financial Statements'!C22/'List of Ratios'!H41</f>
        <v>5.6140204408927188</v>
      </c>
      <c r="E41" s="23">
        <f>'Financial Statements'!D22/'List of Ratios'!I41</f>
        <v>3.2753479618630856</v>
      </c>
      <c r="F41" s="34" t="s">
        <v>152</v>
      </c>
      <c r="G41" s="33">
        <f>16325819/1000</f>
        <v>16325.819</v>
      </c>
      <c r="H41" s="33">
        <f>16864919/1000</f>
        <v>16864.919000000002</v>
      </c>
      <c r="I41" s="33">
        <f>17528214/1000</f>
        <v>17528.214</v>
      </c>
      <c r="J41" s="42"/>
    </row>
    <row r="42" spans="1:10" x14ac:dyDescent="0.55000000000000004">
      <c r="A42" s="18">
        <f>+A41+0.1</f>
        <v>5.2999999999999989</v>
      </c>
      <c r="B42" s="1" t="s">
        <v>132</v>
      </c>
      <c r="C42" s="24">
        <f>197.57/C43</f>
        <v>63.654327041166709</v>
      </c>
      <c r="D42" s="24">
        <f t="shared" ref="D42:E42" si="6">197.57/D43</f>
        <v>52.813473558884134</v>
      </c>
      <c r="E42" s="24">
        <f t="shared" si="6"/>
        <v>53.001258666034062</v>
      </c>
      <c r="F42" s="34"/>
      <c r="J42" s="39"/>
    </row>
    <row r="43" spans="1:10" x14ac:dyDescent="0.55000000000000004">
      <c r="A43" s="18">
        <f>+A42+0.1</f>
        <v>5.3999999999999986</v>
      </c>
      <c r="B43" s="3" t="s">
        <v>133</v>
      </c>
      <c r="C43" s="30">
        <f>'Financial Statements'!B68/'List of Ratios'!G41</f>
        <v>3.1037952827971451</v>
      </c>
      <c r="D43" s="30">
        <f>'Financial Statements'!C68/'List of Ratios'!H41</f>
        <v>3.740901453484597</v>
      </c>
      <c r="E43" s="30">
        <f>'Financial Statements'!D68/'List of Ratios'!I41</f>
        <v>3.7276473233382479</v>
      </c>
      <c r="F43" s="34"/>
      <c r="J43" s="39"/>
    </row>
    <row r="44" spans="1:10" x14ac:dyDescent="0.55000000000000004">
      <c r="A44" s="18">
        <f>+A43+0.1</f>
        <v>5.4999999999999982</v>
      </c>
      <c r="B44" s="1" t="s">
        <v>134</v>
      </c>
      <c r="C44" s="24">
        <f>C45/C41</f>
        <v>0.14870294480125848</v>
      </c>
      <c r="D44" s="24">
        <f t="shared" ref="D44:E44" si="7">D45/D41</f>
        <v>0.15279890156316012</v>
      </c>
      <c r="E44" s="24">
        <f t="shared" si="7"/>
        <v>0.24526658654264863</v>
      </c>
      <c r="F44" s="34"/>
      <c r="J44" s="39"/>
    </row>
    <row r="45" spans="1:10" x14ac:dyDescent="0.55000000000000004">
      <c r="A45" s="18"/>
      <c r="B45" s="3" t="s">
        <v>135</v>
      </c>
      <c r="C45" s="23">
        <f>-'Financial Statements'!B102/'List of Ratios'!G41</f>
        <v>0.90905087211857494</v>
      </c>
      <c r="D45" s="23">
        <f>-'Financial Statements'!C102/'List of Ratios'!H41</f>
        <v>0.85781615672153533</v>
      </c>
      <c r="E45" s="23">
        <f>-'Financial Statements'!D102/'List of Ratios'!I41</f>
        <v>0.80333341434558025</v>
      </c>
      <c r="F45" s="34"/>
      <c r="J45" s="39"/>
    </row>
    <row r="46" spans="1:10" x14ac:dyDescent="0.55000000000000004">
      <c r="A46" s="18">
        <f>+A44+0.1</f>
        <v>5.5999999999999979</v>
      </c>
      <c r="B46" s="1" t="s">
        <v>136</v>
      </c>
      <c r="C46" s="28">
        <f>C45/129.93</f>
        <v>6.9964663443282914E-3</v>
      </c>
      <c r="D46" s="28">
        <f>D45/177.57</f>
        <v>4.8308619514644104E-3</v>
      </c>
      <c r="E46" s="28">
        <f>E45/132.69</f>
        <v>6.0542121813669473E-3</v>
      </c>
      <c r="F46" s="34"/>
      <c r="J46" s="39"/>
    </row>
    <row r="47" spans="1:10" x14ac:dyDescent="0.55000000000000004">
      <c r="A47" s="18">
        <f>+A45+0.1</f>
        <v>0.1</v>
      </c>
      <c r="B47" s="1" t="s">
        <v>137</v>
      </c>
      <c r="C47" s="24">
        <f>C21/'Financial Statements'!B68</f>
        <v>2.3570610988317018</v>
      </c>
      <c r="D47" s="24">
        <f>D21/'Financial Statements'!C68</f>
        <v>1.7268822317324457</v>
      </c>
      <c r="E47" s="24">
        <f>E21/'Financial Statements'!D68</f>
        <v>1.0145242504476653</v>
      </c>
      <c r="F47" s="34"/>
      <c r="G47">
        <v>2022</v>
      </c>
      <c r="H47">
        <v>2021</v>
      </c>
      <c r="I47">
        <v>2020</v>
      </c>
      <c r="J47" s="39"/>
    </row>
    <row r="48" spans="1:10" x14ac:dyDescent="0.55000000000000004">
      <c r="A48" s="18">
        <f>+A46+0.1</f>
        <v>5.6999999999999975</v>
      </c>
      <c r="B48" s="1" t="s">
        <v>138</v>
      </c>
      <c r="C48" s="24">
        <f>C21/G48</f>
        <v>0.79821026391589978</v>
      </c>
      <c r="D48" s="24">
        <f>D21/H48</f>
        <v>0.63270343097400639</v>
      </c>
      <c r="E48" s="24">
        <f>E21/I48</f>
        <v>0.40418033486579757</v>
      </c>
      <c r="F48" s="34" t="s">
        <v>153</v>
      </c>
      <c r="G48">
        <f>'Financial Statements'!B68+'Financial Statements'!B59</f>
        <v>149631</v>
      </c>
      <c r="H48">
        <f>'Financial Statements'!C68+'Financial Statements'!C59</f>
        <v>172196</v>
      </c>
      <c r="I48">
        <f>'Financial Statements'!D68+'Financial Statements'!D59</f>
        <v>164006</v>
      </c>
      <c r="J48" s="39"/>
    </row>
    <row r="49" spans="1:10" x14ac:dyDescent="0.55000000000000004">
      <c r="A49" s="18">
        <f>+A47+0.1</f>
        <v>0.2</v>
      </c>
      <c r="B49" s="1" t="s">
        <v>128</v>
      </c>
      <c r="C49" s="24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  <c r="F49" s="34"/>
      <c r="J49" s="39"/>
    </row>
    <row r="50" spans="1:10" x14ac:dyDescent="0.55000000000000004">
      <c r="A50" s="18">
        <f>+A48+0.1</f>
        <v>5.7999999999999972</v>
      </c>
      <c r="B50" s="1" t="s">
        <v>139</v>
      </c>
      <c r="C50" s="24">
        <f>C51/C19</f>
        <v>23.872574503106303</v>
      </c>
      <c r="D50" s="24">
        <f t="shared" ref="D50:E50" si="8">D51/D19</f>
        <v>26.729261660359473</v>
      </c>
      <c r="E50" s="24">
        <f t="shared" si="8"/>
        <v>42.957246021152258</v>
      </c>
      <c r="F50" s="34"/>
      <c r="G50">
        <v>2022</v>
      </c>
      <c r="H50">
        <v>2021</v>
      </c>
      <c r="I50">
        <v>2020</v>
      </c>
      <c r="J50" s="39"/>
    </row>
    <row r="51" spans="1:10" x14ac:dyDescent="0.55000000000000004">
      <c r="A51" s="18"/>
      <c r="B51" s="3" t="s">
        <v>140</v>
      </c>
      <c r="C51">
        <f>G51+('Financial Statements'!B55+'Financial Statements'!B59)-'Financial Statements'!B36</f>
        <v>3116349.7482099999</v>
      </c>
      <c r="D51">
        <f>H51+('Financial Statements'!C55+'Financial Statements'!C59)-'Financial Statements'!C36</f>
        <v>3213739.3172100005</v>
      </c>
      <c r="E51">
        <f>I51+('Financial Statements'!D55+'Financial Statements'!D59)-'Financial Statements'!D36</f>
        <v>3322485.2362600002</v>
      </c>
      <c r="F51" s="34" t="s">
        <v>150</v>
      </c>
      <c r="G51">
        <f>185.59*G41</f>
        <v>3029908.7482099999</v>
      </c>
      <c r="H51">
        <f t="shared" ref="H51:I51" si="9">185.59*H41</f>
        <v>3129960.3172100005</v>
      </c>
      <c r="I51">
        <f t="shared" si="9"/>
        <v>3253061.2362600002</v>
      </c>
      <c r="J51" s="39"/>
    </row>
  </sheetData>
  <mergeCells count="2">
    <mergeCell ref="C2:E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سالم</cp:lastModifiedBy>
  <dcterms:created xsi:type="dcterms:W3CDTF">2020-05-18T16:32:37Z</dcterms:created>
  <dcterms:modified xsi:type="dcterms:W3CDTF">2024-01-12T16:51:12Z</dcterms:modified>
</cp:coreProperties>
</file>