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/Downloads/"/>
    </mc:Choice>
  </mc:AlternateContent>
  <xr:revisionPtr revIDLastSave="0" documentId="8_{8DC4E339-EF1D-494B-98F1-744DD23B9EE9}" xr6:coauthVersionLast="47" xr6:coauthVersionMax="47" xr10:uidLastSave="{00000000-0000-0000-0000-000000000000}"/>
  <bookViews>
    <workbookView xWindow="0" yWindow="760" windowWidth="30240" windowHeight="173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D8" i="3"/>
  <c r="C8" i="3"/>
  <c r="D45" i="3"/>
  <c r="E45" i="3"/>
  <c r="C45" i="3"/>
  <c r="D41" i="3"/>
  <c r="E41" i="3"/>
  <c r="C41" i="3"/>
  <c r="D43" i="3"/>
  <c r="E43" i="3"/>
  <c r="E42" i="3" s="1"/>
  <c r="C43" i="3"/>
  <c r="D42" i="3"/>
  <c r="C42" i="3"/>
  <c r="D12" i="3"/>
  <c r="E12" i="3"/>
  <c r="C12" i="3"/>
  <c r="L16" i="3"/>
  <c r="M16" i="3"/>
  <c r="K16" i="3"/>
  <c r="L15" i="3"/>
  <c r="M15" i="3"/>
  <c r="K15" i="3"/>
  <c r="L14" i="3"/>
  <c r="M14" i="3"/>
  <c r="K14" i="3"/>
  <c r="K10" i="3"/>
  <c r="K9" i="3"/>
  <c r="K8" i="3"/>
  <c r="K7" i="3"/>
  <c r="K6" i="3"/>
  <c r="K5" i="3"/>
  <c r="H46" i="3"/>
  <c r="H44" i="3"/>
  <c r="H45" i="3"/>
  <c r="H42" i="3"/>
  <c r="H43" i="3"/>
  <c r="H39" i="3"/>
  <c r="H36" i="3"/>
  <c r="H37" i="3"/>
  <c r="H38" i="3"/>
  <c r="H29" i="3"/>
  <c r="H30" i="3"/>
  <c r="H31" i="3"/>
  <c r="H32" i="3"/>
  <c r="H33" i="3"/>
  <c r="H28" i="3"/>
  <c r="H25" i="3"/>
  <c r="H23" i="3"/>
  <c r="H24" i="3"/>
  <c r="H22" i="3"/>
  <c r="H21" i="3"/>
  <c r="H19" i="3"/>
  <c r="H18" i="3"/>
  <c r="H17" i="3"/>
  <c r="H14" i="3"/>
  <c r="H15" i="3"/>
  <c r="H16" i="3"/>
  <c r="H13" i="3"/>
  <c r="H12" i="3"/>
  <c r="H11" i="3"/>
  <c r="H10" i="3"/>
  <c r="H9" i="3"/>
  <c r="H8" i="3"/>
  <c r="H7" i="3"/>
  <c r="H6" i="3"/>
  <c r="H5" i="3"/>
  <c r="D40" i="3"/>
  <c r="E40" i="3"/>
  <c r="C40" i="3"/>
  <c r="D50" i="3"/>
  <c r="E50" i="3"/>
  <c r="C50" i="3"/>
  <c r="D51" i="3"/>
  <c r="E51" i="3"/>
  <c r="C51" i="3"/>
  <c r="H36" i="1"/>
  <c r="I36" i="1"/>
  <c r="G36" i="1"/>
  <c r="D30" i="3"/>
  <c r="E30" i="3"/>
  <c r="C30" i="3"/>
  <c r="D31" i="3"/>
  <c r="E31" i="3"/>
  <c r="C31" i="3"/>
  <c r="H35" i="1"/>
  <c r="I35" i="1"/>
  <c r="G35" i="1"/>
  <c r="H33" i="1"/>
  <c r="I33" i="1"/>
  <c r="G33" i="1"/>
  <c r="D29" i="3"/>
  <c r="E29" i="3"/>
  <c r="C29" i="3"/>
  <c r="E37" i="3"/>
  <c r="E49" i="3" s="1"/>
  <c r="D37" i="3"/>
  <c r="D49" i="3" s="1"/>
  <c r="D48" i="3"/>
  <c r="E48" i="3"/>
  <c r="C48" i="3"/>
  <c r="D44" i="3"/>
  <c r="E44" i="3"/>
  <c r="C44" i="3"/>
  <c r="D46" i="3"/>
  <c r="E46" i="3"/>
  <c r="C46" i="3"/>
  <c r="D14" i="3"/>
  <c r="D13" i="3" s="1"/>
  <c r="E14" i="3"/>
  <c r="E13" i="3" s="1"/>
  <c r="C14" i="3"/>
  <c r="C13" i="3" s="1"/>
  <c r="D21" i="3"/>
  <c r="D19" i="3" s="1"/>
  <c r="D18" i="3" s="1"/>
  <c r="E21" i="3"/>
  <c r="E19" i="3" s="1"/>
  <c r="E18" i="3" s="1"/>
  <c r="C21" i="3"/>
  <c r="C19" i="3" s="1"/>
  <c r="C18" i="3" s="1"/>
  <c r="C49" i="3"/>
  <c r="G5" i="1"/>
  <c r="D36" i="3"/>
  <c r="C36" i="3"/>
  <c r="D35" i="3"/>
  <c r="C35" i="3"/>
  <c r="D34" i="3"/>
  <c r="C34" i="3"/>
  <c r="D22" i="3"/>
  <c r="E22" i="3"/>
  <c r="C22" i="3"/>
  <c r="D26" i="3"/>
  <c r="E26" i="3"/>
  <c r="C26" i="3"/>
  <c r="D25" i="3"/>
  <c r="E25" i="3"/>
  <c r="C25" i="3"/>
  <c r="D27" i="3"/>
  <c r="E27" i="3"/>
  <c r="C27" i="3"/>
  <c r="E47" i="3"/>
  <c r="D47" i="3"/>
  <c r="D17" i="3"/>
  <c r="E17" i="3"/>
  <c r="C17" i="3"/>
  <c r="D10" i="3"/>
  <c r="E10" i="3"/>
  <c r="C10" i="3"/>
  <c r="H16" i="1"/>
  <c r="I16" i="1"/>
  <c r="G16" i="1"/>
  <c r="D11" i="3"/>
  <c r="E11" i="3"/>
  <c r="C11" i="3"/>
  <c r="H15" i="1"/>
  <c r="I15" i="1"/>
  <c r="G15" i="1"/>
  <c r="H14" i="1"/>
  <c r="I14" i="1"/>
  <c r="G14" i="1"/>
  <c r="D7" i="3"/>
  <c r="E7" i="3"/>
  <c r="C7" i="3"/>
  <c r="D6" i="3"/>
  <c r="E6" i="3"/>
  <c r="C6" i="3"/>
  <c r="D5" i="3"/>
  <c r="E5" i="3"/>
  <c r="C5" i="3"/>
  <c r="D9" i="3"/>
  <c r="E9" i="3"/>
  <c r="C9" i="3"/>
  <c r="D108" i="1"/>
  <c r="C108" i="1"/>
  <c r="B108" i="1"/>
  <c r="D99" i="1"/>
  <c r="C99" i="1"/>
  <c r="B99" i="1"/>
  <c r="C28" i="3" l="1"/>
  <c r="E28" i="3"/>
  <c r="D28" i="3"/>
  <c r="C20" i="3"/>
  <c r="D20" i="3"/>
  <c r="E20" i="3"/>
  <c r="D68" i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<sst xmlns="http://schemas.openxmlformats.org/spreadsheetml/2006/main" count="246" uniqueCount="181">
  <si>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</si>
  <si>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</si>
  <si>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</si>
  <si>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</si>
  <si>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</si>
  <si>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</si>
  <si>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</si>
  <si>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</si>
  <si>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</si>
  <si>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</si>
  <si>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</si>
  <si>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</si>
  <si>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</si>
  <si>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</si>
  <si>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</si>
  <si>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</si>
  <si>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</si>
  <si>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</si>
  <si>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</si>
  <si>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</si>
  <si>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</si>
  <si>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</si>
  <si>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</si>
  <si>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</si>
  <si>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</si>
  <si>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</si>
  <si>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</si>
  <si>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</si>
  <si>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</si>
  <si>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</si>
  <si>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</si>
  <si>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</si>
  <si>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</si>
  <si>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</si>
  <si>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</si>
  <si>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</si>
  <si>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</si>
  <si>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</si>
  <si>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</si>
  <si>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</si>
  <si>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</si>
  <si>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</si>
  <si>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</si>
  <si>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</si>
  <si>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</si>
  <si>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</si>
  <si>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</si>
  <si>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</si>
  <si>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</si>
  <si>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</si>
  <si>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</si>
  <si>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</si>
  <si>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</si>
  <si>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</si>
  <si>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</si>
  <si>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</si>
  <si>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</si>
  <si>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</si>
  <si>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</si>
  <si>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</si>
  <si>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</si>
  <si>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</si>
  <si>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</si>
  <si>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</si>
  <si>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</si>
  <si>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</si>
  <si>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</si>
  <si>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</si>
  <si>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</si>
  <si>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</si>
  <si>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</si>
  <si>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</si>
  <si>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</si>
  <si>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</si>
  <si>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</si>
  <si>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</si>
  <si>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</si>
  <si>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</si>
  <si>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</si>
  <si>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</si>
  <si>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</si>
  <si>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</si>
  <si>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</si>
  <si>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</si>
  <si>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</si>
  <si>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</si>
  <si>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</si>
  <si>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</si>
  <si>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</si>
  <si>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</si>
  <si>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</si>
  <si>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</si>
  <si>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</si>
  <si>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</si>
  <si>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</si>
  <si>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</si>
  <si>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</si>
  <si>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</si>
  <si>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</si>
  <si>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</si>
  <si>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</si>
  <si>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</si>
  <si>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</si>
  <si>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</si>
  <si>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</si>
  <si>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</si>
  <si>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</si>
  <si>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</si>
  <si>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</si>
  <si>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</si>
  <si>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</si>
  <si>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</si>
  <si>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</si>
  <si>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</si>
  <si>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</si>
  <si>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</si>
  <si>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</si>
  <si>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</si>
  <si>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</si>
  <si>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</si>
  <si>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</si>
  <si>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</si>
  <si>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</si>
  <si>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</si>
  <si>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</si>
  <si>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</si>
  <si>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</si>
  <si>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</si>
  <si>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</si>
  <si>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</si>
  <si>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</si>
  <si>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</si>
  <si>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</si>
  <si>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</si>
  <si>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</si>
  <si>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</si>
  <si>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</si>
  <si>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</si>
  <si>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</si>
  <si>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</si>
  <si>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</si>
  <si>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</si>
  <si>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</si>
  <si>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</si>
  <si>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</si>
  <si>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</si>
  <si>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</si>
  <si>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</si>
  <si>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</si>
  <si>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Inventory Turnover Ratio</t>
  </si>
  <si>
    <t>Accounts Receivable Turnover Ratio</t>
  </si>
  <si>
    <t>Accounts Payable Turnover Ratio</t>
  </si>
  <si>
    <t>N/A</t>
  </si>
  <si>
    <t>Stock Price</t>
  </si>
  <si>
    <t>From Bloomberg</t>
  </si>
  <si>
    <t>Total net sales (Revenue)</t>
  </si>
  <si>
    <t>P/E Ratio</t>
  </si>
  <si>
    <t>Shares Outstanding (millions)</t>
  </si>
  <si>
    <t>Price to Sales Ratio</t>
  </si>
  <si>
    <t>Dividend</t>
  </si>
  <si>
    <t>Price to Book Ratio</t>
  </si>
  <si>
    <t>Interest and Dividend Income</t>
  </si>
  <si>
    <t>Interest Expense</t>
  </si>
  <si>
    <t>Other Income/Expense, (net)</t>
  </si>
  <si>
    <t>Total other Income/Expense (net)</t>
  </si>
  <si>
    <t>Net Income</t>
  </si>
  <si>
    <t>Net Working Capital:</t>
  </si>
  <si>
    <t>CapEx</t>
  </si>
  <si>
    <t>Net Borrowing</t>
  </si>
  <si>
    <t>Market Capitalisation</t>
  </si>
  <si>
    <t>Net</t>
  </si>
  <si>
    <t>Gross Profit</t>
  </si>
  <si>
    <t>Research and Development</t>
  </si>
  <si>
    <t>Total Operating Expenses</t>
  </si>
  <si>
    <t>Cash and Cash equivalents</t>
  </si>
  <si>
    <t>Short term debt</t>
  </si>
  <si>
    <t>Long term debt</t>
  </si>
  <si>
    <t>Common stock and additional paid in capital</t>
  </si>
  <si>
    <t>Sales Growth Rate (expressed as a percentage)</t>
  </si>
  <si>
    <t>% of net sales</t>
  </si>
  <si>
    <t>Income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</si>
</sst>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1F6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4" fontId="0" fillId="0" borderId="0" xfId="0" applyNumberFormat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9" xfId="0" applyNumberFormat="1" applyBorder="1"/>
    <xf numFmtId="2" fontId="0" fillId="0" borderId="1" xfId="0" applyNumberFormat="1" applyBorder="1"/>
    <xf numFmtId="2" fontId="0" fillId="0" borderId="12" xfId="0" applyNumberFormat="1" applyBorder="1"/>
    <xf numFmtId="2" fontId="0" fillId="0" borderId="10" xfId="0" applyNumberFormat="1" applyBorder="1"/>
    <xf numFmtId="2" fontId="0" fillId="0" borderId="13" xfId="0" applyNumberFormat="1" applyBorder="1"/>
    <xf numFmtId="2" fontId="0" fillId="0" borderId="11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0" borderId="7" xfId="1" applyNumberFormat="1" applyFont="1" applyBorder="1"/>
    <xf numFmtId="0" fontId="0" fillId="0" borderId="8" xfId="1" applyNumberFormat="1" applyFont="1" applyBorder="1"/>
    <xf numFmtId="0" fontId="0" fillId="0" borderId="5" xfId="0" applyBorder="1"/>
    <xf numFmtId="0" fontId="0" fillId="5" borderId="5" xfId="0" applyFill="1" applyBorder="1"/>
    <xf numFmtId="0" fontId="2" fillId="5" borderId="16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2" fillId="0" borderId="3" xfId="0" applyFont="1" applyBorder="1"/>
    <xf numFmtId="0" fontId="0" fillId="0" borderId="3" xfId="0" applyBorder="1"/>
    <xf numFmtId="0" fontId="0" fillId="0" borderId="9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0" fillId="0" borderId="11" xfId="0" applyBorder="1" applyAlignment="1">
      <alignment horizontal="left" indent="1"/>
    </xf>
    <xf numFmtId="0" fontId="2" fillId="0" borderId="1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0" fillId="0" borderId="3" xfId="0" applyNumberFormat="1" applyBorder="1"/>
    <xf numFmtId="2" fontId="0" fillId="0" borderId="12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2" fillId="0" borderId="7" xfId="0" applyFont="1" applyBorder="1"/>
    <xf numFmtId="0" fontId="0" fillId="5" borderId="3" xfId="0" applyFill="1" applyBorder="1"/>
    <xf numFmtId="0" fontId="2" fillId="0" borderId="6" xfId="0" applyFont="1" applyBorder="1"/>
    <xf numFmtId="0" fontId="2" fillId="0" borderId="5" xfId="0" applyFont="1" applyBorder="1"/>
    <xf numFmtId="164" fontId="0" fillId="0" borderId="0" xfId="1" applyNumberFormat="1" applyFont="1" applyBorder="1"/>
    <xf numFmtId="164" fontId="0" fillId="0" borderId="13" xfId="1" applyNumberFormat="1" applyFont="1" applyBorder="1"/>
    <xf numFmtId="0" fontId="0" fillId="0" borderId="1" xfId="0" applyBorder="1"/>
    <xf numFmtId="0" fontId="0" fillId="0" borderId="12" xfId="0" applyBorder="1"/>
    <xf numFmtId="0" fontId="0" fillId="4" borderId="14" xfId="0" applyFill="1" applyBorder="1"/>
    <xf numFmtId="0" fontId="0" fillId="0" borderId="0" xfId="0" applyAlignment="1">
      <alignment horizontal="right"/>
    </xf>
    <xf numFmtId="0" fontId="0" fillId="6" borderId="0" xfId="0" applyFill="1" applyAlignment="1">
      <alignment horizontal="left" indent="1"/>
    </xf>
    <xf numFmtId="0" fontId="0" fillId="6" borderId="0" xfId="0" applyFill="1"/>
    <xf numFmtId="166" fontId="0" fillId="0" borderId="0" xfId="0" applyNumberFormat="1"/>
    <xf numFmtId="0" fontId="2" fillId="0" borderId="0" xfId="0" applyFont="1" applyAlignment="1">
      <alignment horizontal="right"/>
    </xf>
    <xf numFmtId="0" fontId="3" fillId="7" borderId="0" xfId="0" applyFont="1" applyFill="1" applyAlignment="1">
      <alignment horizontal="center"/>
    </xf>
    <xf numFmtId="0" fontId="0" fillId="7" borderId="0" xfId="0" applyFill="1"/>
    <xf numFmtId="0" fontId="0" fillId="0" borderId="7" xfId="0" applyBorder="1" applyAlignment="1">
      <alignment horizontal="left"/>
    </xf>
    <xf numFmtId="0" fontId="0" fillId="0" borderId="16" xfId="0" applyBorder="1"/>
    <xf numFmtId="167" fontId="0" fillId="0" borderId="0" xfId="0" applyNumberFormat="1"/>
    <xf numFmtId="167" fontId="0" fillId="0" borderId="13" xfId="0" applyNumberFormat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1F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4" sqref="A2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86</v>
      </c>
    </row>
    <row r="3" spans="1:1" x14ac:dyDescent="0.2">
      <c r="A3" s="7" t="s">
        <v>140</v>
      </c>
    </row>
    <row r="4" spans="1:1" x14ac:dyDescent="0.2">
      <c r="A4" s="16" t="s">
        <v>87</v>
      </c>
    </row>
    <row r="5" spans="1:1" x14ac:dyDescent="0.2">
      <c r="A5" s="7" t="s">
        <v>96</v>
      </c>
    </row>
    <row r="6" spans="1:1" x14ac:dyDescent="0.2">
      <c r="A6" s="1" t="s">
        <v>147</v>
      </c>
    </row>
    <row r="7" spans="1:1" x14ac:dyDescent="0.2">
      <c r="A7" s="1"/>
    </row>
    <row r="8" spans="1:1" x14ac:dyDescent="0.2">
      <c r="A8" s="17" t="s">
        <v>148</v>
      </c>
    </row>
    <row r="9" spans="1:1" x14ac:dyDescent="0.2">
      <c r="A9" s="1" t="s">
        <v>144</v>
      </c>
    </row>
    <row r="10" spans="1:1" x14ac:dyDescent="0.2">
      <c r="A10" s="1" t="s">
        <v>88</v>
      </c>
    </row>
    <row r="11" spans="1:1" x14ac:dyDescent="0.2">
      <c r="A11" s="1" t="s">
        <v>89</v>
      </c>
    </row>
    <row r="12" spans="1:1" x14ac:dyDescent="0.2">
      <c r="A12" s="1" t="s">
        <v>90</v>
      </c>
    </row>
    <row r="13" spans="1:1" x14ac:dyDescent="0.2">
      <c r="A13" s="1"/>
    </row>
    <row r="14" spans="1:1" x14ac:dyDescent="0.2">
      <c r="A14" s="17" t="s">
        <v>91</v>
      </c>
    </row>
    <row r="15" spans="1:1" x14ac:dyDescent="0.2">
      <c r="A15" s="1" t="s">
        <v>145</v>
      </c>
    </row>
    <row r="16" spans="1:1" x14ac:dyDescent="0.2">
      <c r="A16" s="1" t="s">
        <v>88</v>
      </c>
    </row>
    <row r="17" spans="1:1" x14ac:dyDescent="0.2">
      <c r="A17" s="1" t="s">
        <v>89</v>
      </c>
    </row>
    <row r="18" spans="1:1" x14ac:dyDescent="0.2">
      <c r="A18" s="1" t="s">
        <v>13</v>
      </c>
    </row>
    <row r="19" spans="1:1" x14ac:dyDescent="0.2">
      <c r="A19" s="1" t="s">
        <v>92</v>
      </c>
    </row>
    <row r="20" spans="1:1" x14ac:dyDescent="0.2">
      <c r="A20" s="1"/>
    </row>
    <row r="21" spans="1:1" x14ac:dyDescent="0.2">
      <c r="A21" s="17" t="s">
        <v>97</v>
      </c>
    </row>
    <row r="22" spans="1:1" x14ac:dyDescent="0.2">
      <c r="A22" s="1" t="s">
        <v>93</v>
      </c>
    </row>
    <row r="23" spans="1:1" x14ac:dyDescent="0.2">
      <c r="A23" s="1" t="s">
        <v>94</v>
      </c>
    </row>
    <row r="24" spans="1:1" x14ac:dyDescent="0.2">
      <c r="A24" s="1" t="s">
        <v>95</v>
      </c>
    </row>
    <row r="25" spans="1:1" x14ac:dyDescent="0.2">
      <c r="A25" s="1"/>
    </row>
    <row r="26" spans="1:1" x14ac:dyDescent="0.2">
      <c r="A26" s="17" t="s">
        <v>143</v>
      </c>
    </row>
    <row r="27" spans="1:1" x14ac:dyDescent="0.2">
      <c r="A27" s="16" t="s">
        <v>142</v>
      </c>
    </row>
    <row r="29" spans="1:1" x14ac:dyDescent="0.2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4" workbookViewId="0">
      <selection activeCell="G48" sqref="G48"/>
    </sheetView>
  </sheetViews>
  <sheetFormatPr baseColWidth="10" defaultColWidth="8.83203125" defaultRowHeight="15" x14ac:dyDescent="0.2"/>
  <cols>
    <col min="1" max="1" width="130" customWidth="1"/>
    <col min="2" max="3" width="11.5" bestFit="1" customWidth="1"/>
    <col min="4" max="4" width="11.6640625" bestFit="1" customWidth="1"/>
    <col min="5" max="5" width="56.83203125" customWidth="1"/>
    <col min="6" max="6" width="28.33203125" customWidth="1"/>
    <col min="7" max="7" width="13.6640625" customWidth="1"/>
    <col min="8" max="8" width="9.83203125" customWidth="1"/>
    <col min="9" max="9" width="9.1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82" t="s">
        <v>1</v>
      </c>
      <c r="B2" s="82"/>
      <c r="C2" s="82"/>
      <c r="D2" s="82"/>
    </row>
    <row r="3" spans="1:10" x14ac:dyDescent="0.2">
      <c r="B3" s="81" t="s">
        <v>22</v>
      </c>
      <c r="C3" s="81"/>
      <c r="D3" s="81"/>
      <c r="F3" s="44" t="s">
        <v>154</v>
      </c>
      <c r="G3" s="62"/>
      <c r="H3" s="62"/>
      <c r="I3" s="43"/>
    </row>
    <row r="4" spans="1:10" x14ac:dyDescent="0.2">
      <c r="B4" s="7">
        <v>2022</v>
      </c>
      <c r="C4" s="7">
        <v>2021</v>
      </c>
      <c r="D4" s="7">
        <v>2020</v>
      </c>
      <c r="F4" s="30"/>
      <c r="G4" s="7">
        <v>2022</v>
      </c>
      <c r="H4" s="7">
        <v>2021</v>
      </c>
      <c r="I4" s="64">
        <v>2020</v>
      </c>
    </row>
    <row r="5" spans="1:10" x14ac:dyDescent="0.2">
      <c r="A5" t="s">
        <v>3</v>
      </c>
      <c r="F5" s="29" t="s">
        <v>153</v>
      </c>
      <c r="G5" s="63">
        <f>197.5</f>
        <v>197.5</v>
      </c>
      <c r="H5" s="26"/>
      <c r="I5" s="26"/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F6" s="30" t="s">
        <v>156</v>
      </c>
      <c r="G6" s="40">
        <v>32.35</v>
      </c>
      <c r="H6" s="27"/>
      <c r="I6" s="27"/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F7" s="30" t="s">
        <v>157</v>
      </c>
      <c r="G7" s="27">
        <v>16326</v>
      </c>
      <c r="H7" s="27">
        <v>16865</v>
      </c>
      <c r="I7" s="27">
        <v>17528</v>
      </c>
    </row>
    <row r="8" spans="1:10" x14ac:dyDescent="0.2">
      <c r="A8" s="8" t="s">
        <v>155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F8" s="30" t="s">
        <v>158</v>
      </c>
      <c r="G8" s="40">
        <v>8.14</v>
      </c>
      <c r="H8" s="40"/>
      <c r="I8" s="27"/>
    </row>
    <row r="9" spans="1:10" x14ac:dyDescent="0.2">
      <c r="A9" t="s">
        <v>6</v>
      </c>
      <c r="B9" s="12"/>
      <c r="C9" s="12"/>
      <c r="D9" s="12"/>
      <c r="F9" s="30" t="s">
        <v>159</v>
      </c>
      <c r="G9" s="27">
        <v>0.22</v>
      </c>
      <c r="H9" s="27">
        <v>0.22</v>
      </c>
      <c r="I9" s="27">
        <v>0.21</v>
      </c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F10" s="31" t="s">
        <v>160</v>
      </c>
      <c r="G10" s="41">
        <v>49.53</v>
      </c>
      <c r="H10" s="28"/>
      <c r="I10" s="28"/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H11" s="24"/>
    </row>
    <row r="12" spans="1:10" x14ac:dyDescent="0.2">
      <c r="A12" s="8" t="s">
        <v>7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171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9</v>
      </c>
      <c r="B14" s="12"/>
      <c r="C14" s="12"/>
      <c r="D14" s="12"/>
      <c r="F14" s="29" t="s">
        <v>149</v>
      </c>
      <c r="G14" s="32">
        <f>B12/B39</f>
        <v>45.197331176708452</v>
      </c>
      <c r="H14" s="33">
        <f>C12/C39</f>
        <v>32.367933130699086</v>
      </c>
      <c r="I14" s="34">
        <f>D12/D39</f>
        <v>41.753016498399411</v>
      </c>
    </row>
    <row r="15" spans="1:10" x14ac:dyDescent="0.2">
      <c r="A15" s="1" t="s">
        <v>10</v>
      </c>
      <c r="B15" s="12">
        <v>26251</v>
      </c>
      <c r="C15" s="12">
        <v>21914</v>
      </c>
      <c r="D15" s="12">
        <v>18752</v>
      </c>
      <c r="F15" s="30" t="s">
        <v>150</v>
      </c>
      <c r="G15" s="35">
        <f>'Financial Statements'!B8/'Financial Statements'!B38</f>
        <v>13.991200681237581</v>
      </c>
      <c r="H15" s="23">
        <f>'Financial Statements'!C8/'Financial Statements'!C38</f>
        <v>13.921036608569906</v>
      </c>
      <c r="I15" s="36">
        <f>'Financial Statements'!D8/'Financial Statements'!D38</f>
        <v>17.029466501240694</v>
      </c>
    </row>
    <row r="16" spans="1:10" x14ac:dyDescent="0.2">
      <c r="A16" s="1" t="s">
        <v>11</v>
      </c>
      <c r="B16" s="12">
        <v>25094</v>
      </c>
      <c r="C16" s="12">
        <v>21973</v>
      </c>
      <c r="D16" s="12">
        <v>19916</v>
      </c>
      <c r="F16" s="31" t="s">
        <v>151</v>
      </c>
      <c r="G16" s="37">
        <f>B12/B51</f>
        <v>3.486641191608828</v>
      </c>
      <c r="H16" s="38">
        <f>C12/C51</f>
        <v>3.8891404780600038</v>
      </c>
      <c r="I16" s="39">
        <f>D12/D51</f>
        <v>4.0088660866275774</v>
      </c>
    </row>
    <row r="17" spans="1:9" x14ac:dyDescent="0.2">
      <c r="A17" s="8" t="s">
        <v>12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9" s="7" customFormat="1" x14ac:dyDescent="0.2">
      <c r="A18" s="8" t="s">
        <v>13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9" x14ac:dyDescent="0.2">
      <c r="A19" t="s">
        <v>14</v>
      </c>
      <c r="B19" s="12">
        <v>-334</v>
      </c>
      <c r="C19" s="12">
        <v>258</v>
      </c>
      <c r="D19" s="12">
        <v>803</v>
      </c>
    </row>
    <row r="20" spans="1:9" x14ac:dyDescent="0.2">
      <c r="A20" s="8" t="s">
        <v>15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F20" s="29"/>
      <c r="G20" s="67">
        <v>2022</v>
      </c>
      <c r="H20" s="67">
        <v>2021</v>
      </c>
      <c r="I20" s="68">
        <v>2020</v>
      </c>
    </row>
    <row r="21" spans="1:9" x14ac:dyDescent="0.2">
      <c r="A21" t="s">
        <v>16</v>
      </c>
      <c r="B21" s="12">
        <v>19300</v>
      </c>
      <c r="C21" s="12">
        <v>14527</v>
      </c>
      <c r="D21" s="12">
        <v>9680</v>
      </c>
      <c r="F21" s="30" t="s">
        <v>161</v>
      </c>
      <c r="G21" s="65">
        <v>2825</v>
      </c>
      <c r="H21" s="65">
        <v>2843</v>
      </c>
      <c r="I21" s="66">
        <v>3763</v>
      </c>
    </row>
    <row r="22" spans="1:9" ht="16" thickBot="1" x14ac:dyDescent="0.25">
      <c r="A22" s="9" t="s">
        <v>17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 s="30" t="s">
        <v>162</v>
      </c>
      <c r="G22">
        <v>2931</v>
      </c>
      <c r="H22">
        <v>2645</v>
      </c>
      <c r="I22" s="47">
        <v>2873</v>
      </c>
    </row>
    <row r="23" spans="1:9" ht="16" thickTop="1" x14ac:dyDescent="0.2">
      <c r="A23" t="s">
        <v>18</v>
      </c>
      <c r="F23" s="30" t="s">
        <v>163</v>
      </c>
      <c r="G23">
        <v>228</v>
      </c>
      <c r="H23">
        <v>60</v>
      </c>
      <c r="I23" s="47">
        <v>87</v>
      </c>
    </row>
    <row r="24" spans="1:9" x14ac:dyDescent="0.2">
      <c r="A24" s="1" t="s">
        <v>19</v>
      </c>
      <c r="B24" s="10">
        <v>6.15</v>
      </c>
      <c r="C24" s="10">
        <v>5.67</v>
      </c>
      <c r="D24" s="10">
        <v>3.31</v>
      </c>
      <c r="F24" s="31" t="s">
        <v>164</v>
      </c>
      <c r="G24" s="69">
        <v>334</v>
      </c>
      <c r="H24" s="45">
        <v>258</v>
      </c>
      <c r="I24" s="46">
        <v>803</v>
      </c>
    </row>
    <row r="25" spans="1:9" x14ac:dyDescent="0.2">
      <c r="A25" s="1" t="s">
        <v>20</v>
      </c>
      <c r="B25" s="10">
        <v>6.11</v>
      </c>
      <c r="C25" s="10">
        <v>5.61</v>
      </c>
      <c r="D25" s="10">
        <v>3.28</v>
      </c>
    </row>
    <row r="26" spans="1:9" x14ac:dyDescent="0.2">
      <c r="A26" t="s">
        <v>21</v>
      </c>
    </row>
    <row r="27" spans="1:9" x14ac:dyDescent="0.2">
      <c r="A27" s="1" t="s">
        <v>19</v>
      </c>
      <c r="B27" s="2">
        <v>16215963</v>
      </c>
      <c r="C27" s="2">
        <v>16701272</v>
      </c>
      <c r="D27" s="2">
        <v>17352119</v>
      </c>
    </row>
    <row r="28" spans="1:9" x14ac:dyDescent="0.2">
      <c r="A28" s="1" t="s">
        <v>20</v>
      </c>
      <c r="B28" s="2">
        <v>16325819</v>
      </c>
      <c r="C28" s="2">
        <v>16864919</v>
      </c>
      <c r="D28" s="2">
        <v>17528214</v>
      </c>
    </row>
    <row r="31" spans="1:9" x14ac:dyDescent="0.2">
      <c r="A31" s="82" t="s">
        <v>23</v>
      </c>
      <c r="B31" s="82"/>
      <c r="C31" s="82"/>
      <c r="D31" s="82"/>
    </row>
    <row r="32" spans="1:9" x14ac:dyDescent="0.2">
      <c r="B32" s="81" t="s">
        <v>141</v>
      </c>
      <c r="C32" s="81"/>
      <c r="D32" s="81"/>
    </row>
    <row r="33" spans="1:9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 t="s">
        <v>166</v>
      </c>
      <c r="G33" s="24">
        <f>B42-B56</f>
        <v>-18577</v>
      </c>
      <c r="H33" s="24">
        <f t="shared" ref="H33:I33" si="9">C42-C56</f>
        <v>9355</v>
      </c>
      <c r="I33" s="24">
        <f t="shared" si="9"/>
        <v>38321</v>
      </c>
    </row>
    <row r="34" spans="1:9" x14ac:dyDescent="0.2">
      <c r="F34" s="72" t="s">
        <v>167</v>
      </c>
    </row>
    <row r="35" spans="1:9" x14ac:dyDescent="0.2">
      <c r="A35" t="s">
        <v>24</v>
      </c>
      <c r="F35" t="s">
        <v>168</v>
      </c>
      <c r="G35" s="24">
        <f>(B55+B59)-B36</f>
        <v>86441</v>
      </c>
      <c r="H35" s="24">
        <f t="shared" ref="H35:I35" si="10">(C55+C59)-C36</f>
        <v>83779</v>
      </c>
      <c r="I35" s="24">
        <f t="shared" si="10"/>
        <v>69424</v>
      </c>
    </row>
    <row r="36" spans="1:9" x14ac:dyDescent="0.2">
      <c r="A36" s="1" t="s">
        <v>25</v>
      </c>
      <c r="B36" s="12">
        <v>23646</v>
      </c>
      <c r="C36" s="12">
        <v>34940</v>
      </c>
      <c r="D36" s="12">
        <v>38016</v>
      </c>
      <c r="F36" t="s">
        <v>169</v>
      </c>
      <c r="G36">
        <f>$G$5*B27</f>
        <v>3202652692.5</v>
      </c>
      <c r="H36">
        <f t="shared" ref="H36:I36" si="11">$G$5*C27</f>
        <v>3298501220</v>
      </c>
      <c r="I36">
        <f t="shared" si="11"/>
        <v>3427043502.5</v>
      </c>
    </row>
    <row r="37" spans="1:9" x14ac:dyDescent="0.2">
      <c r="A37" s="1" t="s">
        <v>26</v>
      </c>
      <c r="B37" s="12">
        <v>24658</v>
      </c>
      <c r="C37" s="12">
        <v>27699</v>
      </c>
      <c r="D37" s="12">
        <v>52927</v>
      </c>
      <c r="G37" s="24"/>
    </row>
    <row r="38" spans="1:9" x14ac:dyDescent="0.2">
      <c r="A38" s="1" t="s">
        <v>27</v>
      </c>
      <c r="B38" s="12">
        <v>28184</v>
      </c>
      <c r="C38" s="12">
        <v>26278</v>
      </c>
      <c r="D38" s="12">
        <v>16120</v>
      </c>
    </row>
    <row r="39" spans="1:9" x14ac:dyDescent="0.2">
      <c r="A39" s="1" t="s">
        <v>28</v>
      </c>
      <c r="B39" s="12">
        <v>4946</v>
      </c>
      <c r="C39" s="12">
        <v>6580</v>
      </c>
      <c r="D39" s="12">
        <v>4061</v>
      </c>
    </row>
    <row r="40" spans="1:9" x14ac:dyDescent="0.2">
      <c r="A40" s="1" t="s">
        <v>46</v>
      </c>
      <c r="B40" s="12">
        <v>32748</v>
      </c>
      <c r="C40" s="12">
        <v>25228</v>
      </c>
      <c r="D40" s="12">
        <v>21325</v>
      </c>
    </row>
    <row r="41" spans="1:9" x14ac:dyDescent="0.2">
      <c r="A41" s="1" t="s">
        <v>29</v>
      </c>
      <c r="B41" s="12">
        <v>21223</v>
      </c>
      <c r="C41" s="12">
        <v>14111</v>
      </c>
      <c r="D41" s="12">
        <v>11264</v>
      </c>
    </row>
    <row r="42" spans="1:9" x14ac:dyDescent="0.2">
      <c r="A42" s="8" t="s">
        <v>30</v>
      </c>
      <c r="B42" s="13">
        <f>+SUM(B36:B41)</f>
        <v>135405</v>
      </c>
      <c r="C42" s="13">
        <f t="shared" ref="C42:D42" si="12">+SUM(C36:C41)</f>
        <v>134836</v>
      </c>
      <c r="D42" s="13">
        <f t="shared" si="12"/>
        <v>143713</v>
      </c>
    </row>
    <row r="43" spans="1:9" x14ac:dyDescent="0.2">
      <c r="A43" t="s">
        <v>47</v>
      </c>
      <c r="B43" s="12"/>
      <c r="C43" s="12"/>
      <c r="D43" s="12"/>
    </row>
    <row r="44" spans="1:9" x14ac:dyDescent="0.2">
      <c r="A44" s="1" t="s">
        <v>26</v>
      </c>
      <c r="B44" s="12">
        <v>120805</v>
      </c>
      <c r="C44" s="12">
        <v>127877</v>
      </c>
      <c r="D44" s="12">
        <v>100887</v>
      </c>
    </row>
    <row r="45" spans="1:9" x14ac:dyDescent="0.2">
      <c r="A45" s="71" t="s">
        <v>31</v>
      </c>
      <c r="B45" s="12">
        <v>42117</v>
      </c>
      <c r="C45" s="12">
        <v>39440</v>
      </c>
      <c r="D45" s="12">
        <v>36766</v>
      </c>
    </row>
    <row r="46" spans="1:9" x14ac:dyDescent="0.2">
      <c r="A46" s="1" t="s">
        <v>48</v>
      </c>
      <c r="B46" s="12">
        <v>54428</v>
      </c>
      <c r="C46" s="12">
        <v>48849</v>
      </c>
      <c r="D46" s="12">
        <v>42522</v>
      </c>
    </row>
    <row r="47" spans="1:9" x14ac:dyDescent="0.2">
      <c r="A47" s="8" t="s">
        <v>49</v>
      </c>
      <c r="B47" s="13">
        <f>+SUM(B44:B46)</f>
        <v>217350</v>
      </c>
      <c r="C47" s="13">
        <f t="shared" ref="C47:D47" si="13">+SUM(C44:C46)</f>
        <v>216166</v>
      </c>
      <c r="D47" s="13">
        <f t="shared" si="13"/>
        <v>180175</v>
      </c>
    </row>
    <row r="48" spans="1:9" ht="16" thickBot="1" x14ac:dyDescent="0.25">
      <c r="A48" s="9" t="s">
        <v>32</v>
      </c>
      <c r="B48" s="14">
        <f>+B42+B47</f>
        <v>352755</v>
      </c>
      <c r="C48" s="14">
        <f t="shared" ref="C48:D48" si="14">+C42+C47</f>
        <v>351002</v>
      </c>
      <c r="D48" s="14">
        <f t="shared" si="14"/>
        <v>323888</v>
      </c>
    </row>
    <row r="49" spans="1:4" ht="16" thickTop="1" x14ac:dyDescent="0.2"/>
    <row r="50" spans="1:4" x14ac:dyDescent="0.2">
      <c r="A50" t="s">
        <v>33</v>
      </c>
    </row>
    <row r="51" spans="1:4" x14ac:dyDescent="0.2">
      <c r="A51" s="1" t="s">
        <v>34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35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36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37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38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39</v>
      </c>
      <c r="B56" s="13">
        <f>+SUM(B51:B55)</f>
        <v>153982</v>
      </c>
      <c r="C56" s="13">
        <f t="shared" ref="C56:D56" si="15">+SUM(C51:C55)</f>
        <v>125481</v>
      </c>
      <c r="D56" s="13">
        <f t="shared" si="15"/>
        <v>105392</v>
      </c>
    </row>
    <row r="57" spans="1:4" x14ac:dyDescent="0.2">
      <c r="A57" t="s">
        <v>50</v>
      </c>
      <c r="B57" s="12"/>
      <c r="C57" s="12"/>
      <c r="D57" s="12"/>
    </row>
    <row r="58" spans="1:4" x14ac:dyDescent="0.2">
      <c r="A58" s="1" t="s">
        <v>36</v>
      </c>
      <c r="B58" s="12"/>
      <c r="C58" s="12"/>
      <c r="D58" s="12"/>
    </row>
    <row r="59" spans="1:4" x14ac:dyDescent="0.2">
      <c r="A59" s="1" t="s">
        <v>38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51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52</v>
      </c>
      <c r="B61" s="21">
        <f>+B59+B60</f>
        <v>148101</v>
      </c>
      <c r="C61" s="21">
        <f t="shared" ref="C61:D61" si="16">+C59+C60</f>
        <v>162431</v>
      </c>
      <c r="D61" s="21">
        <f t="shared" si="16"/>
        <v>153157</v>
      </c>
    </row>
    <row r="62" spans="1:4" x14ac:dyDescent="0.2">
      <c r="A62" s="8" t="s">
        <v>40</v>
      </c>
      <c r="B62" s="13">
        <f>+B56+B61</f>
        <v>302083</v>
      </c>
      <c r="C62" s="13">
        <f t="shared" ref="C62:D62" si="17">+C56+C61</f>
        <v>287912</v>
      </c>
      <c r="D62" s="13">
        <f t="shared" si="17"/>
        <v>258549</v>
      </c>
    </row>
    <row r="63" spans="1:4" x14ac:dyDescent="0.2">
      <c r="B63" s="12"/>
      <c r="C63" s="12"/>
      <c r="D63" s="12"/>
    </row>
    <row r="64" spans="1:4" x14ac:dyDescent="0.2">
      <c r="A64" t="s">
        <v>41</v>
      </c>
      <c r="B64" s="12"/>
      <c r="C64" s="12"/>
      <c r="D64" s="12"/>
    </row>
    <row r="65" spans="1:8" x14ac:dyDescent="0.2">
      <c r="A65" s="1" t="s">
        <v>53</v>
      </c>
      <c r="B65" s="12">
        <v>64849</v>
      </c>
      <c r="C65" s="12">
        <v>57365</v>
      </c>
      <c r="D65" s="12">
        <v>50779</v>
      </c>
    </row>
    <row r="66" spans="1:8" x14ac:dyDescent="0.2">
      <c r="A66" s="1" t="s">
        <v>42</v>
      </c>
      <c r="B66" s="12">
        <v>-3068</v>
      </c>
      <c r="C66" s="12">
        <v>5562</v>
      </c>
      <c r="D66" s="12">
        <v>14966</v>
      </c>
    </row>
    <row r="67" spans="1:8" x14ac:dyDescent="0.2">
      <c r="A67" s="1" t="s">
        <v>43</v>
      </c>
      <c r="B67" s="12">
        <v>-11109</v>
      </c>
      <c r="C67" s="12">
        <v>163</v>
      </c>
      <c r="D67" s="12">
        <v>-406</v>
      </c>
    </row>
    <row r="68" spans="1:8" x14ac:dyDescent="0.2">
      <c r="A68" s="8" t="s">
        <v>44</v>
      </c>
      <c r="B68" s="13">
        <f>+SUM(B65:B67)</f>
        <v>50672</v>
      </c>
      <c r="C68" s="13">
        <f t="shared" ref="C68:D68" si="18">+SUM(C65:C67)</f>
        <v>63090</v>
      </c>
      <c r="D68" s="13">
        <f t="shared" si="18"/>
        <v>65339</v>
      </c>
    </row>
    <row r="69" spans="1:8" ht="16" thickBot="1" x14ac:dyDescent="0.25">
      <c r="A69" s="9" t="s">
        <v>45</v>
      </c>
      <c r="B69" s="14">
        <f>+B68+B62</f>
        <v>352755</v>
      </c>
      <c r="C69" s="14">
        <f t="shared" ref="C69:D69" si="19">+C68+C62</f>
        <v>351002</v>
      </c>
      <c r="D69" s="14">
        <f t="shared" si="19"/>
        <v>323888</v>
      </c>
    </row>
    <row r="70" spans="1:8" ht="16" thickTop="1" x14ac:dyDescent="0.2"/>
    <row r="71" spans="1:8" x14ac:dyDescent="0.2">
      <c r="A71" s="82" t="s">
        <v>54</v>
      </c>
      <c r="B71" s="82"/>
      <c r="C71" s="82"/>
      <c r="D71" s="82"/>
      <c r="E71" s="74"/>
      <c r="F71" s="7"/>
      <c r="G71" s="7"/>
      <c r="H71" s="7"/>
    </row>
    <row r="72" spans="1:8" x14ac:dyDescent="0.2">
      <c r="B72" s="81" t="s">
        <v>22</v>
      </c>
      <c r="C72" s="81"/>
      <c r="D72" s="81"/>
      <c r="F72" s="7"/>
      <c r="G72" s="7"/>
      <c r="H72" s="7"/>
    </row>
    <row r="73" spans="1:8" x14ac:dyDescent="0.2">
      <c r="B73" s="7">
        <f>+B33</f>
        <v>2022</v>
      </c>
      <c r="C73" s="7">
        <f t="shared" ref="C73:D73" si="20">+C33</f>
        <v>2021</v>
      </c>
      <c r="D73" s="7">
        <f t="shared" si="20"/>
        <v>2020</v>
      </c>
    </row>
    <row r="74" spans="1:8" x14ac:dyDescent="0.2">
      <c r="E74" s="17"/>
    </row>
    <row r="75" spans="1:8" x14ac:dyDescent="0.2">
      <c r="A75" s="7" t="s">
        <v>55</v>
      </c>
      <c r="B75" s="15"/>
      <c r="C75" s="15"/>
      <c r="D75" s="15"/>
      <c r="E75" s="70"/>
    </row>
    <row r="76" spans="1:8" x14ac:dyDescent="0.2">
      <c r="A76" t="s">
        <v>56</v>
      </c>
      <c r="B76" s="12">
        <f>+B22</f>
        <v>99803</v>
      </c>
      <c r="C76" s="12">
        <f t="shared" ref="C76:D76" si="21">+C22</f>
        <v>94680</v>
      </c>
      <c r="D76" s="12">
        <f t="shared" si="21"/>
        <v>57411</v>
      </c>
      <c r="E76" s="70"/>
    </row>
    <row r="77" spans="1:8" x14ac:dyDescent="0.2">
      <c r="A77" s="11" t="s">
        <v>17</v>
      </c>
      <c r="B77" s="15"/>
      <c r="C77" s="15"/>
      <c r="D77" s="15"/>
      <c r="E77" s="70"/>
    </row>
    <row r="78" spans="1:8" x14ac:dyDescent="0.2">
      <c r="A78" s="1" t="s">
        <v>57</v>
      </c>
      <c r="B78" s="12"/>
      <c r="C78" s="12"/>
      <c r="D78" s="12"/>
      <c r="E78" s="70"/>
    </row>
    <row r="79" spans="1:8" x14ac:dyDescent="0.2">
      <c r="A79" s="3" t="s">
        <v>58</v>
      </c>
      <c r="B79" s="12">
        <v>11104</v>
      </c>
      <c r="C79" s="12">
        <v>11284</v>
      </c>
      <c r="D79" s="12">
        <v>11056</v>
      </c>
      <c r="E79" s="70"/>
    </row>
    <row r="80" spans="1:8" x14ac:dyDescent="0.2">
      <c r="A80" s="3" t="s">
        <v>82</v>
      </c>
      <c r="B80" s="12">
        <v>9038</v>
      </c>
      <c r="C80" s="12">
        <v>7906</v>
      </c>
      <c r="D80" s="12">
        <v>6829</v>
      </c>
    </row>
    <row r="81" spans="1:8" x14ac:dyDescent="0.2">
      <c r="A81" s="3" t="s">
        <v>59</v>
      </c>
      <c r="B81" s="12">
        <v>895</v>
      </c>
      <c r="C81" s="12">
        <v>-4774</v>
      </c>
      <c r="D81" s="12">
        <v>-215</v>
      </c>
      <c r="E81" s="7"/>
    </row>
    <row r="82" spans="1:8" x14ac:dyDescent="0.2">
      <c r="A82" s="3" t="s">
        <v>60</v>
      </c>
      <c r="B82" s="12">
        <v>111</v>
      </c>
      <c r="C82" s="12">
        <v>-147</v>
      </c>
      <c r="D82" s="12">
        <v>-97</v>
      </c>
      <c r="E82" s="70"/>
      <c r="F82" s="65"/>
      <c r="G82" s="65"/>
      <c r="H82" s="65"/>
    </row>
    <row r="83" spans="1:8" x14ac:dyDescent="0.2">
      <c r="A83" t="s">
        <v>61</v>
      </c>
      <c r="B83" s="12"/>
      <c r="C83" s="12"/>
      <c r="D83" s="12"/>
      <c r="E83" s="70"/>
      <c r="F83" s="65"/>
      <c r="G83" s="65"/>
      <c r="H83" s="65"/>
    </row>
    <row r="84" spans="1:8" x14ac:dyDescent="0.2">
      <c r="A84" s="1" t="s">
        <v>27</v>
      </c>
      <c r="B84" s="12">
        <v>-1823</v>
      </c>
      <c r="C84" s="12">
        <v>-10125</v>
      </c>
      <c r="D84" s="12">
        <v>6917</v>
      </c>
      <c r="E84" s="70"/>
      <c r="F84" s="65"/>
      <c r="G84" s="65"/>
      <c r="H84" s="65"/>
    </row>
    <row r="85" spans="1:8" x14ac:dyDescent="0.2">
      <c r="A85" s="1" t="s">
        <v>28</v>
      </c>
      <c r="B85" s="12">
        <v>1484</v>
      </c>
      <c r="C85" s="12">
        <v>-2642</v>
      </c>
      <c r="D85" s="12">
        <v>-127</v>
      </c>
      <c r="E85" s="70"/>
      <c r="F85" s="65"/>
      <c r="G85" s="65"/>
      <c r="H85" s="65"/>
    </row>
    <row r="86" spans="1:8" x14ac:dyDescent="0.2">
      <c r="A86" s="1" t="s">
        <v>46</v>
      </c>
      <c r="B86" s="12">
        <v>-7520</v>
      </c>
      <c r="C86" s="12">
        <v>-3903</v>
      </c>
      <c r="D86" s="12">
        <v>1553</v>
      </c>
      <c r="E86" s="70"/>
      <c r="F86" s="65"/>
      <c r="G86" s="65"/>
      <c r="H86" s="65"/>
    </row>
    <row r="87" spans="1:8" x14ac:dyDescent="0.2">
      <c r="A87" s="1" t="s">
        <v>83</v>
      </c>
      <c r="B87" s="12">
        <v>-6499</v>
      </c>
      <c r="C87" s="12">
        <v>-8042</v>
      </c>
      <c r="D87" s="12">
        <v>-9588</v>
      </c>
      <c r="E87" s="70"/>
      <c r="F87" s="70"/>
      <c r="G87" s="70"/>
      <c r="H87" s="65"/>
    </row>
    <row r="88" spans="1:8" x14ac:dyDescent="0.2">
      <c r="A88" s="1" t="s">
        <v>34</v>
      </c>
      <c r="B88" s="12">
        <v>9448</v>
      </c>
      <c r="C88" s="12">
        <v>12326</v>
      </c>
      <c r="D88" s="12">
        <v>-4062</v>
      </c>
      <c r="E88" s="70"/>
    </row>
    <row r="89" spans="1:8" x14ac:dyDescent="0.2">
      <c r="A89" s="1" t="s">
        <v>36</v>
      </c>
      <c r="B89" s="12">
        <v>478</v>
      </c>
      <c r="C89" s="12">
        <v>1676</v>
      </c>
      <c r="D89" s="12">
        <v>2081</v>
      </c>
    </row>
    <row r="90" spans="1:8" x14ac:dyDescent="0.2">
      <c r="A90" s="1" t="s">
        <v>84</v>
      </c>
      <c r="B90" s="12">
        <v>5632</v>
      </c>
      <c r="C90" s="12">
        <v>5799</v>
      </c>
      <c r="D90" s="12">
        <v>8916</v>
      </c>
    </row>
    <row r="91" spans="1:8" x14ac:dyDescent="0.2">
      <c r="A91" s="8" t="s">
        <v>62</v>
      </c>
      <c r="B91" s="13">
        <f>+SUM(B76:B90)</f>
        <v>122151</v>
      </c>
      <c r="C91" s="13">
        <f t="shared" ref="C91:D91" si="22">+SUM(C76:C90)</f>
        <v>104038</v>
      </c>
      <c r="D91" s="13">
        <f t="shared" si="22"/>
        <v>80674</v>
      </c>
    </row>
    <row r="92" spans="1:8" x14ac:dyDescent="0.2">
      <c r="A92" s="7" t="s">
        <v>63</v>
      </c>
      <c r="B92" s="12"/>
      <c r="C92" s="12"/>
      <c r="D92" s="12"/>
    </row>
    <row r="93" spans="1:8" x14ac:dyDescent="0.2">
      <c r="A93" s="1" t="s">
        <v>64</v>
      </c>
      <c r="B93" s="12">
        <v>-76923</v>
      </c>
      <c r="C93" s="12">
        <v>-109558</v>
      </c>
      <c r="D93" s="12">
        <v>-114938</v>
      </c>
    </row>
    <row r="94" spans="1:8" x14ac:dyDescent="0.2">
      <c r="A94" s="1" t="s">
        <v>65</v>
      </c>
      <c r="B94" s="12">
        <v>29917</v>
      </c>
      <c r="C94" s="12">
        <v>59023</v>
      </c>
      <c r="D94" s="12">
        <v>69918</v>
      </c>
    </row>
    <row r="95" spans="1:8" x14ac:dyDescent="0.2">
      <c r="A95" s="1" t="s">
        <v>66</v>
      </c>
      <c r="B95" s="12">
        <v>37446</v>
      </c>
      <c r="C95" s="12">
        <v>47460</v>
      </c>
      <c r="D95" s="12">
        <v>50473</v>
      </c>
    </row>
    <row r="96" spans="1:8" x14ac:dyDescent="0.2">
      <c r="A96" s="1" t="s">
        <v>67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68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60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69</v>
      </c>
      <c r="B99" s="13">
        <f>+SUM(B93:B98)</f>
        <v>-22354</v>
      </c>
      <c r="C99" s="13">
        <f t="shared" ref="C99:D99" si="23">+SUM(C93:C98)</f>
        <v>-14545</v>
      </c>
      <c r="D99" s="13">
        <f t="shared" si="23"/>
        <v>-4289</v>
      </c>
    </row>
    <row r="100" spans="1:4" x14ac:dyDescent="0.2">
      <c r="A100" s="7" t="s">
        <v>70</v>
      </c>
      <c r="B100" s="12"/>
      <c r="C100" s="12"/>
      <c r="D100" s="12"/>
    </row>
    <row r="101" spans="1:4" x14ac:dyDescent="0.2">
      <c r="A101" s="1" t="s">
        <v>85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71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72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73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74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75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60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76</v>
      </c>
      <c r="B108" s="13">
        <f>+SUM(B101:B107)</f>
        <v>-110749</v>
      </c>
      <c r="C108" s="13">
        <f t="shared" ref="C108:D108" si="24">+SUM(C101:C107)</f>
        <v>-93353</v>
      </c>
      <c r="D108" s="13">
        <f t="shared" si="24"/>
        <v>-86820</v>
      </c>
    </row>
    <row r="109" spans="1:4" x14ac:dyDescent="0.2">
      <c r="A109" s="8" t="s">
        <v>77</v>
      </c>
      <c r="B109" s="13">
        <f>+B91+B99+B108</f>
        <v>-10952</v>
      </c>
      <c r="C109" s="13">
        <f t="shared" ref="C109:D109" si="25">+C91+C99+C108</f>
        <v>-3860</v>
      </c>
      <c r="D109" s="13">
        <f t="shared" si="25"/>
        <v>-10435</v>
      </c>
    </row>
    <row r="110" spans="1:4" ht="16" thickBot="1" x14ac:dyDescent="0.25">
      <c r="A110" s="9" t="s">
        <v>78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79</v>
      </c>
      <c r="B112" s="12"/>
      <c r="C112" s="12"/>
      <c r="D112" s="12"/>
    </row>
    <row r="113" spans="1:4" x14ac:dyDescent="0.2">
      <c r="A113" t="s">
        <v>80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81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tabSelected="1" topLeftCell="A4" workbookViewId="0">
      <selection activeCell="G34" sqref="G34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3.6640625" bestFit="1" customWidth="1"/>
    <col min="4" max="4" width="16.6640625" customWidth="1"/>
    <col min="5" max="5" width="16.5" customWidth="1"/>
    <col min="7" max="7" width="38.1640625" customWidth="1"/>
    <col min="10" max="10" width="29.6640625" customWidth="1"/>
  </cols>
  <sheetData>
    <row r="1" spans="1:14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75"/>
      <c r="K1" s="76"/>
      <c r="L1" s="76"/>
      <c r="M1" s="76"/>
      <c r="N1" s="76"/>
    </row>
    <row r="2" spans="1:14" x14ac:dyDescent="0.2">
      <c r="C2" s="81" t="s">
        <v>22</v>
      </c>
      <c r="D2" s="81"/>
      <c r="E2" s="81"/>
    </row>
    <row r="3" spans="1:14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4" x14ac:dyDescent="0.2">
      <c r="A4" s="18">
        <v>1</v>
      </c>
      <c r="B4" s="55" t="s">
        <v>98</v>
      </c>
      <c r="C4" s="49"/>
      <c r="D4" s="49"/>
      <c r="E4" s="42"/>
      <c r="G4" s="56" t="s">
        <v>178</v>
      </c>
      <c r="H4" s="42"/>
      <c r="J4" s="56" t="s">
        <v>179</v>
      </c>
      <c r="K4" s="42"/>
    </row>
    <row r="5" spans="1:14" x14ac:dyDescent="0.2">
      <c r="A5" s="18">
        <f>+A4+0.1</f>
        <v>1.1000000000000001</v>
      </c>
      <c r="B5" s="50" t="s">
        <v>99</v>
      </c>
      <c r="C5" s="33">
        <f>'Financial Statements'!B42/'Financial Statements'!B56</f>
        <v>0.87935602862672257</v>
      </c>
      <c r="D5" s="33">
        <f>'Financial Statements'!C42/'Financial Statements'!C56</f>
        <v>1.0745531195957954</v>
      </c>
      <c r="E5" s="34">
        <f>'Financial Statements'!D42/'Financial Statements'!D56</f>
        <v>1.3636044481554577</v>
      </c>
      <c r="G5" s="77" t="s">
        <v>4</v>
      </c>
      <c r="H5" s="36">
        <f>(('Financial Statements'!B6-'Financial Statements'!D6)/'Financial Statements'!D6)*100</f>
        <v>43.240451738868479</v>
      </c>
      <c r="J5" s="27" t="s">
        <v>145</v>
      </c>
      <c r="K5" s="36">
        <f>('Financial Statements'!B12/'Financial Statements'!B8)*100</f>
        <v>56.690369438639912</v>
      </c>
    </row>
    <row r="6" spans="1:14" x14ac:dyDescent="0.2">
      <c r="A6" s="18">
        <f t="shared" ref="A6:A13" si="0">+A5+0.1</f>
        <v>1.2000000000000002</v>
      </c>
      <c r="B6" s="51" t="s">
        <v>100</v>
      </c>
      <c r="C6" s="23">
        <f>('Financial Statements'!B36+'Financial Statements'!B37+'Financial Statements'!B38)/'Financial Statements'!B56</f>
        <v>0.49673338442155579</v>
      </c>
      <c r="D6" s="23">
        <f>('Financial Statements'!C36+'Financial Statements'!C37+'Financial Statements'!C38)/'Financial Statements'!C56</f>
        <v>0.70860927152317876</v>
      </c>
      <c r="E6" s="36">
        <f>('Financial Statements'!D36+'Financial Statements'!D37+'Financial Statements'!D38)/'Financial Statements'!D56</f>
        <v>1.0158550933657204</v>
      </c>
      <c r="G6" s="77" t="s">
        <v>5</v>
      </c>
      <c r="H6" s="36">
        <f>(('Financial Statements'!B7-'Financial Statements'!D7)/'Financial Statements'!D7)*100</f>
        <v>45.307617914000893</v>
      </c>
      <c r="J6" s="27" t="s">
        <v>88</v>
      </c>
      <c r="K6" s="36">
        <f>('Financial Statements'!B13/'Financial Statements'!B8)*100</f>
        <v>43.309630561360088</v>
      </c>
    </row>
    <row r="7" spans="1:14" x14ac:dyDescent="0.2">
      <c r="A7" s="18">
        <f t="shared" si="0"/>
        <v>1.3000000000000003</v>
      </c>
      <c r="B7" s="51" t="s">
        <v>101</v>
      </c>
      <c r="C7" s="23">
        <f>('Financial Statements'!B36+'Financial Statements'!B37)/'Financial Statements'!B56</f>
        <v>0.31369900377966253</v>
      </c>
      <c r="D7" s="23">
        <f>('Financial Statements'!C36+'Financial Statements'!C37)/'Financial Statements'!C56</f>
        <v>0.49919111259872012</v>
      </c>
      <c r="E7" s="36">
        <f>('Financial Statements'!D36+'Financial Statements'!D37)/'Financial Statements'!D56</f>
        <v>0.86290230757552755</v>
      </c>
      <c r="G7" s="77" t="s">
        <v>170</v>
      </c>
      <c r="H7" s="36">
        <f>(('Financial Statements'!B8-'Financial Statements'!D8)/'Financial Statements'!D8)*100</f>
        <v>43.645338141813745</v>
      </c>
      <c r="J7" s="27" t="s">
        <v>10</v>
      </c>
      <c r="K7" s="36">
        <f>('Financial Statements'!B15/'Financial Statements'!$B$8)*100</f>
        <v>6.6571483637986653</v>
      </c>
    </row>
    <row r="8" spans="1:14" x14ac:dyDescent="0.2">
      <c r="A8" s="18">
        <f t="shared" si="0"/>
        <v>1.4000000000000004</v>
      </c>
      <c r="B8" s="51" t="s">
        <v>102</v>
      </c>
      <c r="C8" s="23">
        <f>('Financial Statements'!B36+'Financial Statements'!B37+'Financial Statements'!B38)/(('Financial Statements'!B17-'Financial Statements'!B19)/365)</f>
        <v>540.22175351690248</v>
      </c>
      <c r="D8" s="23">
        <f>('Financial Statements'!C36+'Financial Statements'!C37+'Financial Statements'!C38)/(('Financial Statements'!C17-'Financial Statements'!C19)/365)</f>
        <v>743.87918586261435</v>
      </c>
      <c r="E8" s="36">
        <f>('Financial Statements'!D36+'Financial Statements'!D37+'Financial Statements'!D38)/(('Financial Statements'!D17-'Financial Statements'!D19)/365)</f>
        <v>1032.0347286412255</v>
      </c>
      <c r="G8" s="77" t="s">
        <v>171</v>
      </c>
      <c r="H8" s="36">
        <f>(('Financial Statements'!B13-'Financial Statements'!D13)/'Financial Statements'!D13)*100</f>
        <v>62.717710278592932</v>
      </c>
      <c r="J8" s="27" t="s">
        <v>11</v>
      </c>
      <c r="K8" s="36">
        <f>('Financial Statements'!B16/'Financial Statements'!$B$8)*100</f>
        <v>6.3637378020328264</v>
      </c>
    </row>
    <row r="9" spans="1:14" x14ac:dyDescent="0.2">
      <c r="A9" s="18">
        <f t="shared" si="0"/>
        <v>1.5000000000000004</v>
      </c>
      <c r="B9" s="51" t="s">
        <v>103</v>
      </c>
      <c r="C9" s="23">
        <f>365*('Financial Statements'!B39/'Financial Statements'!B12)</f>
        <v>8.0756980666171607</v>
      </c>
      <c r="D9" s="23">
        <f>365*('Financial Statements'!C39/'Financial Statements'!C12)</f>
        <v>11.27659274770989</v>
      </c>
      <c r="E9" s="36">
        <f>365*('Financial Statements'!D39/'Financial Statements'!D12)</f>
        <v>8.7418833562358831</v>
      </c>
      <c r="G9" s="77" t="s">
        <v>172</v>
      </c>
      <c r="H9" s="36">
        <f>(('Financial Statements'!B15-'Financial Statements'!D15)/'Financial Statements'!D15)*100</f>
        <v>39.99040102389079</v>
      </c>
      <c r="J9" s="27" t="s">
        <v>13</v>
      </c>
      <c r="K9" s="36">
        <f>('Financial Statements'!B18/'Financial Statements'!$B$8)*100</f>
        <v>30.288744395528592</v>
      </c>
    </row>
    <row r="10" spans="1:14" x14ac:dyDescent="0.2">
      <c r="A10" s="18">
        <f t="shared" si="0"/>
        <v>1.6000000000000005</v>
      </c>
      <c r="B10" s="51" t="s">
        <v>104</v>
      </c>
      <c r="C10" s="23">
        <f>365/'Financial Statements'!G16</f>
        <v>104.68527730310539</v>
      </c>
      <c r="D10" s="23">
        <f>365/'Financial Statements'!H16</f>
        <v>93.85107122231561</v>
      </c>
      <c r="E10" s="36">
        <f>365/'Financial Statements'!I16</f>
        <v>91.048189715674184</v>
      </c>
      <c r="G10" s="27" t="s">
        <v>11</v>
      </c>
      <c r="H10" s="36">
        <f>(('Financial Statements'!B16-'Financial Statements'!D16)/'Financial Statements'!D16)*100</f>
        <v>25.999196625828482</v>
      </c>
      <c r="J10" s="28" t="s">
        <v>92</v>
      </c>
      <c r="K10" s="39">
        <f>('Financial Statements'!B22/'Financial Statements'!B8)*100</f>
        <v>25.309640705199733</v>
      </c>
    </row>
    <row r="11" spans="1:14" x14ac:dyDescent="0.2">
      <c r="A11" s="18">
        <f t="shared" si="0"/>
        <v>1.7000000000000006</v>
      </c>
      <c r="B11" s="51" t="s">
        <v>105</v>
      </c>
      <c r="C11" s="23">
        <f>365/'Financial Statements'!G15</f>
        <v>26.087825363656652</v>
      </c>
      <c r="D11" s="23">
        <f>365/'Financial Statements'!H15</f>
        <v>26.219311841713207</v>
      </c>
      <c r="E11" s="36">
        <f>365/'Financial Statements'!I15</f>
        <v>21.433437152796753</v>
      </c>
      <c r="G11" s="77" t="s">
        <v>173</v>
      </c>
      <c r="H11" s="36">
        <f>(('Financial Statements'!B17-'Financial Statements'!D17)/'Financial Statements'!D17)*100</f>
        <v>32.784214337436637</v>
      </c>
    </row>
    <row r="12" spans="1:14" x14ac:dyDescent="0.2">
      <c r="A12" s="18">
        <f t="shared" si="0"/>
        <v>1.8000000000000007</v>
      </c>
      <c r="B12" s="51" t="s">
        <v>106</v>
      </c>
      <c r="C12" s="23">
        <f>C11+C10+C9</f>
        <v>138.84880073337919</v>
      </c>
      <c r="D12" s="23">
        <f t="shared" ref="D12:E12" si="1">D11+D10+D9</f>
        <v>131.3469758117387</v>
      </c>
      <c r="E12" s="23">
        <f t="shared" si="1"/>
        <v>121.22351022470683</v>
      </c>
      <c r="G12" s="77" t="s">
        <v>165</v>
      </c>
      <c r="H12" s="36">
        <f>(('Financial Statements'!B22-'Financial Statements'!D22)/'Financial Statements'!D22)*100</f>
        <v>73.839508108202253</v>
      </c>
    </row>
    <row r="13" spans="1:14" x14ac:dyDescent="0.2">
      <c r="A13" s="18">
        <f t="shared" si="0"/>
        <v>1.9000000000000008</v>
      </c>
      <c r="B13" s="51" t="s">
        <v>107</v>
      </c>
      <c r="C13" s="23">
        <f>(C14/'Financial Statements'!B8)*100</f>
        <v>-4.7110527276784806</v>
      </c>
      <c r="D13" s="23">
        <f>(D14/'Financial Statements'!C8)*100</f>
        <v>2.5572895737486232</v>
      </c>
      <c r="E13" s="36">
        <f>(E14/'Financial Statements'!D8)*100</f>
        <v>13.959528623208204</v>
      </c>
      <c r="G13" s="77" t="s">
        <v>174</v>
      </c>
      <c r="H13" s="36">
        <f>(('Financial Statements'!B36-'Financial Statements'!D36)/'Financial Statements'!D36)*100</f>
        <v>-37.799873737373737</v>
      </c>
      <c r="J13" s="78"/>
      <c r="K13" s="48">
        <v>2022</v>
      </c>
      <c r="L13" s="48">
        <v>2021</v>
      </c>
      <c r="M13" s="64">
        <v>2020</v>
      </c>
    </row>
    <row r="14" spans="1:14" x14ac:dyDescent="0.2">
      <c r="A14" s="18"/>
      <c r="B14" s="52" t="s">
        <v>108</v>
      </c>
      <c r="C14" s="45">
        <f>'Financial Statements'!B42-'Financial Statements'!B56</f>
        <v>-18577</v>
      </c>
      <c r="D14" s="45">
        <f>'Financial Statements'!C42-'Financial Statements'!C56</f>
        <v>9355</v>
      </c>
      <c r="E14" s="46">
        <f>'Financial Statements'!D42-'Financial Statements'!D56</f>
        <v>38321</v>
      </c>
      <c r="G14" s="27" t="s">
        <v>26</v>
      </c>
      <c r="H14" s="36">
        <f>(('Financial Statements'!B37-'Financial Statements'!D37)/'Financial Statements'!D37)*100</f>
        <v>-53.41130235985414</v>
      </c>
      <c r="J14" s="30" t="s">
        <v>180</v>
      </c>
      <c r="K14" s="23">
        <f>'Financial Statements'!B81/'Financial Statements'!B113*100</f>
        <v>4.5726255556123228</v>
      </c>
      <c r="L14" s="23">
        <f>'Financial Statements'!C81/'Financial Statements'!C113*100</f>
        <v>-18.806381721489068</v>
      </c>
      <c r="M14" s="36">
        <f>'Financial Statements'!D81/'Financial Statements'!D113*100</f>
        <v>-2.2629196926639299</v>
      </c>
    </row>
    <row r="15" spans="1:14" x14ac:dyDescent="0.2">
      <c r="A15" s="18"/>
      <c r="C15" s="23"/>
      <c r="D15" s="23"/>
      <c r="E15" s="23"/>
      <c r="G15" s="27" t="s">
        <v>27</v>
      </c>
      <c r="H15" s="36">
        <f>(('Financial Statements'!B38-'Financial Statements'!D38)/'Financial Statements'!D38)*100</f>
        <v>74.838709677419359</v>
      </c>
      <c r="J15" s="30" t="s">
        <v>94</v>
      </c>
      <c r="K15" s="23">
        <f>'Financial Statements'!B45/'Financial Statements'!B8*100</f>
        <v>10.680702359457102</v>
      </c>
      <c r="L15" s="23">
        <f>'Financial Statements'!C45/'Financial Statements'!C8*100</f>
        <v>10.781346957631822</v>
      </c>
      <c r="M15" s="36">
        <f>'Financial Statements'!D45/'Financial Statements'!D8*100</f>
        <v>13.393075059650656</v>
      </c>
    </row>
    <row r="16" spans="1:14" x14ac:dyDescent="0.2">
      <c r="A16" s="18">
        <f>+A4+1</f>
        <v>2</v>
      </c>
      <c r="B16" s="55" t="s">
        <v>109</v>
      </c>
      <c r="C16" s="57"/>
      <c r="D16" s="57"/>
      <c r="E16" s="25"/>
      <c r="G16" s="27" t="s">
        <v>28</v>
      </c>
      <c r="H16" s="36">
        <f>(('Financial Statements'!B39-'Financial Statements'!D39)/'Financial Statements'!D39)*100</f>
        <v>21.792661905934498</v>
      </c>
      <c r="J16" s="31" t="s">
        <v>95</v>
      </c>
      <c r="K16" s="38">
        <f>'Financial Statements'!B45/'Financial Statements'!B47*100</f>
        <v>19.377501725327811</v>
      </c>
      <c r="L16" s="38">
        <f>'Financial Statements'!C45/'Financial Statements'!C47*100</f>
        <v>18.245237456399249</v>
      </c>
      <c r="M16" s="38">
        <f>'Financial Statements'!D45/'Financial Statements'!D47*100</f>
        <v>20.405716664354102</v>
      </c>
    </row>
    <row r="17" spans="1:8" x14ac:dyDescent="0.2">
      <c r="A17" s="18">
        <f>+A16+0.1</f>
        <v>2.1</v>
      </c>
      <c r="B17" s="51" t="s">
        <v>8</v>
      </c>
      <c r="C17" s="23">
        <f>(('Financial Statements'!B8-'Financial Statements'!B12)/'Financial Statements'!B8)*100</f>
        <v>43.309630561360088</v>
      </c>
      <c r="D17" s="23">
        <f>(('Financial Statements'!C8-'Financial Statements'!C12)/'Financial Statements'!C8)*100</f>
        <v>41.779359625167778</v>
      </c>
      <c r="E17" s="36">
        <f>(('Financial Statements'!D8-'Financial Statements'!D12)/'Financial Statements'!D8)*100</f>
        <v>38.233247727810863</v>
      </c>
      <c r="G17" s="27" t="s">
        <v>46</v>
      </c>
      <c r="H17" s="36">
        <f>(('Financial Statements'!B40-'Financial Statements'!D40)/'Financial Statements'!D40)*100</f>
        <v>53.566236811254399</v>
      </c>
    </row>
    <row r="18" spans="1:8" x14ac:dyDescent="0.2">
      <c r="A18" s="18">
        <f>+A17+0.1</f>
        <v>2.2000000000000002</v>
      </c>
      <c r="B18" s="51" t="s">
        <v>110</v>
      </c>
      <c r="C18" s="23">
        <f>(C19/'Financial Statements'!B8)*100</f>
        <v>33.019973220263331</v>
      </c>
      <c r="D18" s="23">
        <f>(D19/'Financial Statements'!C8)*100</f>
        <v>32.937507004868557</v>
      </c>
      <c r="E18" s="36">
        <f>(E19/'Financial Statements'!D8)*100</f>
        <v>28.467296869023549</v>
      </c>
      <c r="G18" s="27" t="s">
        <v>29</v>
      </c>
      <c r="H18" s="36">
        <f>(('Financial Statements'!B41-'Financial Statements'!D41)/'Financial Statements'!D41)*100</f>
        <v>88.41441761363636</v>
      </c>
    </row>
    <row r="19" spans="1:8" x14ac:dyDescent="0.2">
      <c r="A19" s="18"/>
      <c r="B19" s="53" t="s">
        <v>111</v>
      </c>
      <c r="C19">
        <f>C21+'Financial Statements'!B79</f>
        <v>130207</v>
      </c>
      <c r="D19">
        <f>D21+'Financial Statements'!C79</f>
        <v>120491</v>
      </c>
      <c r="E19" s="47">
        <f>E21+'Financial Statements'!D79</f>
        <v>78147</v>
      </c>
      <c r="G19" s="27" t="s">
        <v>30</v>
      </c>
      <c r="H19" s="36">
        <f>(('Financial Statements'!B42-'Financial Statements'!D42)/'Financial Statements'!D42)*100</f>
        <v>-5.7809662313082324</v>
      </c>
    </row>
    <row r="20" spans="1:8" x14ac:dyDescent="0.2">
      <c r="A20" s="18">
        <f>+A18+0.1</f>
        <v>2.3000000000000003</v>
      </c>
      <c r="B20" s="51" t="s">
        <v>112</v>
      </c>
      <c r="C20" s="23">
        <f>('List of Ratios'!C21/'Financial Statements'!B8)*100</f>
        <v>30.204043334482968</v>
      </c>
      <c r="D20" s="23">
        <f>('List of Ratios'!D21/'Financial Statements'!C8)*100</f>
        <v>29.85290459437369</v>
      </c>
      <c r="E20" s="36">
        <f>('List of Ratios'!E21/'Financial Statements'!D8)*100</f>
        <v>24.439830246070343</v>
      </c>
      <c r="G20" s="61" t="s">
        <v>47</v>
      </c>
      <c r="H20" s="36"/>
    </row>
    <row r="21" spans="1:8" x14ac:dyDescent="0.2">
      <c r="A21" s="18"/>
      <c r="B21" s="53" t="s">
        <v>113</v>
      </c>
      <c r="C21">
        <f>'Financial Statements'!B18+'Financial Statements'!B19</f>
        <v>119103</v>
      </c>
      <c r="D21">
        <f>'Financial Statements'!C18+'Financial Statements'!C19</f>
        <v>109207</v>
      </c>
      <c r="E21" s="47">
        <f>'Financial Statements'!D18+'Financial Statements'!D19</f>
        <v>67091</v>
      </c>
      <c r="G21" s="27" t="s">
        <v>26</v>
      </c>
      <c r="H21" s="36">
        <f>(('Financial Statements'!B44-'Financial Statements'!D44)/'Financial Statements'!D44)*100</f>
        <v>19.742880648646505</v>
      </c>
    </row>
    <row r="22" spans="1:8" x14ac:dyDescent="0.2">
      <c r="A22" s="18">
        <f>+A20+0.1</f>
        <v>2.4000000000000004</v>
      </c>
      <c r="B22" s="54" t="s">
        <v>114</v>
      </c>
      <c r="C22" s="38">
        <f>('Financial Statements'!B22/'Financial Statements'!B8)*100</f>
        <v>25.309640705199733</v>
      </c>
      <c r="D22" s="38">
        <f>('Financial Statements'!C22/'Financial Statements'!C8)*100</f>
        <v>25.881793355694239</v>
      </c>
      <c r="E22" s="39">
        <f>('Financial Statements'!D22/'Financial Statements'!D8)*100</f>
        <v>20.913611278072235</v>
      </c>
      <c r="G22" s="27" t="s">
        <v>31</v>
      </c>
      <c r="H22" s="36">
        <f>(('Financial Statements'!B45-'Financial Statements'!D45)/'Financial Statements'!D45)*100</f>
        <v>14.554207691889246</v>
      </c>
    </row>
    <row r="23" spans="1:8" x14ac:dyDescent="0.2">
      <c r="A23" s="18"/>
      <c r="C23" s="23"/>
      <c r="D23" s="23"/>
      <c r="E23" s="23"/>
      <c r="G23" s="27" t="s">
        <v>48</v>
      </c>
      <c r="H23" s="36">
        <f>(('Financial Statements'!B46-'Financial Statements'!D46)/'Financial Statements'!D46)*100</f>
        <v>27.999623724189831</v>
      </c>
    </row>
    <row r="24" spans="1:8" x14ac:dyDescent="0.2">
      <c r="A24" s="18">
        <f>+A16+1</f>
        <v>3</v>
      </c>
      <c r="B24" s="55" t="s">
        <v>115</v>
      </c>
      <c r="C24" s="57"/>
      <c r="D24" s="57"/>
      <c r="E24" s="25"/>
      <c r="G24" s="27" t="s">
        <v>49</v>
      </c>
      <c r="H24" s="36">
        <f>(('Financial Statements'!B47-'Financial Statements'!D47)/'Financial Statements'!D47)*100</f>
        <v>20.632718190647982</v>
      </c>
    </row>
    <row r="25" spans="1:8" x14ac:dyDescent="0.2">
      <c r="A25" s="18">
        <f>+A24+0.1</f>
        <v>3.1</v>
      </c>
      <c r="B25" s="50" t="s">
        <v>116</v>
      </c>
      <c r="C25" s="33">
        <f>('Financial Statements'!B55+'Financial Statements'!B59)/'Financial Statements'!B68</f>
        <v>2.1725410483107042</v>
      </c>
      <c r="D25" s="33">
        <f>('Financial Statements'!C55+'Financial Statements'!C59)/'Financial Statements'!C68</f>
        <v>1.8817403708987162</v>
      </c>
      <c r="E25" s="34">
        <f>('Financial Statements'!D55+'Financial Statements'!D59)/'Financial Statements'!D68</f>
        <v>1.6443471739696047</v>
      </c>
      <c r="G25" s="27" t="s">
        <v>32</v>
      </c>
      <c r="H25" s="36">
        <f>(('Financial Statements'!B48-'Financial Statements'!D48)/'Financial Statements'!D48)*100</f>
        <v>8.9126488168749685</v>
      </c>
    </row>
    <row r="26" spans="1:8" x14ac:dyDescent="0.2">
      <c r="A26" s="18">
        <f t="shared" ref="A26:A30" si="2">+A25+0.1</f>
        <v>3.2</v>
      </c>
      <c r="B26" s="51" t="s">
        <v>117</v>
      </c>
      <c r="C26" s="23">
        <f>('Financial Statements'!B55+'Financial Statements'!B59)/'Financial Statements'!B48</f>
        <v>0.31207778769967826</v>
      </c>
      <c r="D26" s="23">
        <f>('Financial Statements'!C55+'Financial Statements'!C59)/'Financial Statements'!C48</f>
        <v>0.33822884200090025</v>
      </c>
      <c r="E26" s="36">
        <f>('Financial Statements'!D55+'Financial Statements'!D59)/'Financial Statements'!D48</f>
        <v>0.33171960677765155</v>
      </c>
      <c r="G26" s="27"/>
      <c r="H26" s="36"/>
    </row>
    <row r="27" spans="1:8" x14ac:dyDescent="0.2">
      <c r="A27" s="18">
        <f t="shared" si="2"/>
        <v>3.3000000000000003</v>
      </c>
      <c r="B27" s="51" t="s">
        <v>118</v>
      </c>
      <c r="C27" s="23">
        <f>'Financial Statements'!B59/('Financial Statements'!B55+'Financial Statements'!B59+'Financial Statements'!B68)</f>
        <v>0.61557362262766002</v>
      </c>
      <c r="D27" s="23">
        <f>'Financial Statements'!C59/('Financial Statements'!C55+'Financial Statements'!C59+'Financial Statements'!C68)</f>
        <v>0.60011330572193899</v>
      </c>
      <c r="E27" s="36">
        <f>'Financial Statements'!D59/('Financial Statements'!D55+'Financial Statements'!D59+'Financial Statements'!D68)</f>
        <v>0.57105898286250067</v>
      </c>
      <c r="G27" s="61" t="s">
        <v>33</v>
      </c>
      <c r="H27" s="36"/>
    </row>
    <row r="28" spans="1:8" x14ac:dyDescent="0.2">
      <c r="A28" s="18">
        <f t="shared" si="2"/>
        <v>3.4000000000000004</v>
      </c>
      <c r="B28" s="51" t="s">
        <v>119</v>
      </c>
      <c r="C28" s="23">
        <f>C21/'Financial Statements'!B81</f>
        <v>133.0759776536313</v>
      </c>
      <c r="D28" s="23">
        <f>D21/'Financial Statements'!C81</f>
        <v>-22.875366568914956</v>
      </c>
      <c r="E28" s="36">
        <f>E21/'Financial Statements'!D81</f>
        <v>-312.05116279069767</v>
      </c>
      <c r="G28" s="27" t="s">
        <v>34</v>
      </c>
      <c r="H28" s="36">
        <f>(('Financial Statements'!B51-'Financial Statements'!D51)/'Financial Statements'!D51)*100</f>
        <v>51.586438433894457</v>
      </c>
    </row>
    <row r="29" spans="1:8" x14ac:dyDescent="0.2">
      <c r="A29" s="18">
        <f t="shared" si="2"/>
        <v>3.5000000000000004</v>
      </c>
      <c r="B29" s="51" t="s">
        <v>120</v>
      </c>
      <c r="C29" s="23">
        <f>'Financial Statements'!B18/('Financial Statements'!B55+'Financial Statements'!B59)</f>
        <v>1.0849328258559139</v>
      </c>
      <c r="D29" s="23">
        <f>'Financial Statements'!C18/('Financial Statements'!C55+'Financial Statements'!C59)</f>
        <v>0.91770483241941059</v>
      </c>
      <c r="E29" s="36">
        <f>'Financial Statements'!D18/('Financial Statements'!D55+'Financial Statements'!D59)</f>
        <v>0.61697691734921822</v>
      </c>
      <c r="G29" s="27" t="s">
        <v>35</v>
      </c>
      <c r="H29" s="36">
        <f>(('Financial Statements'!B52-'Financial Statements'!D52)/'Financial Statements'!D52)*100</f>
        <v>42.547558804235777</v>
      </c>
    </row>
    <row r="30" spans="1:8" x14ac:dyDescent="0.2">
      <c r="A30" s="18">
        <f t="shared" si="2"/>
        <v>3.6000000000000005</v>
      </c>
      <c r="B30" s="51" t="s">
        <v>121</v>
      </c>
      <c r="C30" s="73">
        <f>'List of Ratios'!C31/'Financial Statements'!B27</f>
        <v>1.0033570007529E-2</v>
      </c>
      <c r="D30" s="73">
        <f>'List of Ratios'!D31/'Financial Statements'!C27</f>
        <v>7.7637200328214521E-3</v>
      </c>
      <c r="E30" s="73">
        <f>'List of Ratios'!E31/'Financial Statements'!D27</f>
        <v>2.9822294326128122E-3</v>
      </c>
      <c r="G30" s="27" t="s">
        <v>36</v>
      </c>
      <c r="H30" s="36">
        <f>(('Financial Statements'!B53-'Financial Statements'!D53)/'Financial Statements'!D53)*100</f>
        <v>19.102814993225952</v>
      </c>
    </row>
    <row r="31" spans="1:8" x14ac:dyDescent="0.2">
      <c r="A31" s="18"/>
      <c r="B31" s="52" t="s">
        <v>122</v>
      </c>
      <c r="C31" s="38">
        <f>'Financial Statements'!B22-'Financial Statements'!B45-'Financial Statements'!G33+'Financial Statements'!G35</f>
        <v>162704</v>
      </c>
      <c r="D31" s="38">
        <f>'Financial Statements'!C22-'Financial Statements'!C45-'Financial Statements'!H33+'Financial Statements'!H35</f>
        <v>129664</v>
      </c>
      <c r="E31" s="39">
        <f>'Financial Statements'!D22-'Financial Statements'!D45-'Financial Statements'!I33+'Financial Statements'!I35</f>
        <v>51748</v>
      </c>
      <c r="G31" s="27" t="s">
        <v>37</v>
      </c>
      <c r="H31" s="36">
        <f>(('Financial Statements'!B54-'Financial Statements'!D54)/'Financial Statements'!D54)*100</f>
        <v>99.799839871897518</v>
      </c>
    </row>
    <row r="32" spans="1:8" x14ac:dyDescent="0.2">
      <c r="A32" s="18"/>
      <c r="C32" s="23"/>
      <c r="D32" s="23"/>
      <c r="E32" s="23"/>
      <c r="G32" s="27" t="s">
        <v>175</v>
      </c>
      <c r="H32" s="36">
        <f>(('Financial Statements'!B55-'Financial Statements'!D55)/'Financial Statements'!D55)*100</f>
        <v>26.843725065542003</v>
      </c>
    </row>
    <row r="33" spans="1:8" x14ac:dyDescent="0.2">
      <c r="A33" s="18">
        <f>+A24+1</f>
        <v>4</v>
      </c>
      <c r="B33" s="55" t="s">
        <v>123</v>
      </c>
      <c r="C33" s="57"/>
      <c r="D33" s="57"/>
      <c r="E33" s="25"/>
      <c r="G33" s="27" t="s">
        <v>39</v>
      </c>
      <c r="H33" s="36">
        <f>(('Financial Statements'!B56-'Financial Statements'!D56)/'Financial Statements'!D56)*100</f>
        <v>46.104068620009109</v>
      </c>
    </row>
    <row r="34" spans="1:8" x14ac:dyDescent="0.2">
      <c r="A34" s="18">
        <f>+A33+0.1</f>
        <v>4.0999999999999996</v>
      </c>
      <c r="B34" s="50" t="s">
        <v>124</v>
      </c>
      <c r="C34" s="33">
        <f>('Financial Statements'!B8)/(('Financial Statements'!B48+'Financial Statements'!C48)/2)</f>
        <v>1.1206368107173357</v>
      </c>
      <c r="D34" s="33">
        <f>('Financial Statements'!C8)/(('Financial Statements'!C48+'Financial Statements'!D48)/2)</f>
        <v>1.084078886929722</v>
      </c>
      <c r="E34" s="58" t="s">
        <v>152</v>
      </c>
      <c r="G34" s="27"/>
      <c r="H34" s="36"/>
    </row>
    <row r="35" spans="1:8" x14ac:dyDescent="0.2">
      <c r="A35" s="18">
        <f t="shared" ref="A35:A37" si="3">+A34+0.1</f>
        <v>4.1999999999999993</v>
      </c>
      <c r="B35" s="51" t="s">
        <v>125</v>
      </c>
      <c r="C35" s="23">
        <f>('Financial Statements'!B8/(('Financial Statements'!B47+'Financial Statements'!C47)/2))</f>
        <v>1.8192085182553817</v>
      </c>
      <c r="D35" s="23">
        <f>('Financial Statements'!C8/(('Financial Statements'!C47+'Financial Statements'!D47)/2))</f>
        <v>1.8459710199045771</v>
      </c>
      <c r="E35" s="59" t="s">
        <v>152</v>
      </c>
      <c r="G35" s="61" t="s">
        <v>50</v>
      </c>
      <c r="H35" s="36"/>
    </row>
    <row r="36" spans="1:8" x14ac:dyDescent="0.2">
      <c r="A36" s="18">
        <f t="shared" si="3"/>
        <v>4.2999999999999989</v>
      </c>
      <c r="B36" s="51" t="s">
        <v>126</v>
      </c>
      <c r="C36" s="23">
        <f>('Financial Statements'!B12/(('Financial Statements'!B39+'Financial Statements'!C39)/2))</f>
        <v>38.789866389033492</v>
      </c>
      <c r="D36" s="23">
        <f>('Financial Statements'!C12/(('Financial Statements'!C39+'Financial Statements'!D39)/2))</f>
        <v>40.030260313880277</v>
      </c>
      <c r="E36" s="59" t="s">
        <v>152</v>
      </c>
      <c r="G36" s="27" t="s">
        <v>176</v>
      </c>
      <c r="H36" s="36">
        <f>(('Financial Statements'!B59-'Financial Statements'!D59)/'Financial Statements'!D59)*100</f>
        <v>0.29594494613193872</v>
      </c>
    </row>
    <row r="37" spans="1:8" x14ac:dyDescent="0.2">
      <c r="A37" s="18">
        <f t="shared" si="3"/>
        <v>4.3999999999999986</v>
      </c>
      <c r="B37" s="54" t="s">
        <v>127</v>
      </c>
      <c r="C37" s="60" t="s">
        <v>152</v>
      </c>
      <c r="D37" s="38">
        <f>(('Financial Statements'!C22)/(('Financial Statements'!B48+'Financial Statements'!C48/2)))</f>
        <v>0.17923128180276229</v>
      </c>
      <c r="E37" s="39">
        <f>(('Financial Statements'!D22)/(('Financial Statements'!C48+'Financial Statements'!D48/2)))</f>
        <v>0.11192406218198407</v>
      </c>
      <c r="G37" s="27" t="s">
        <v>51</v>
      </c>
      <c r="H37" s="36">
        <f>(('Financial Statements'!B60-'Financial Statements'!D60)/'Financial Statements'!D60)*100</f>
        <v>-9.8146448889704523</v>
      </c>
    </row>
    <row r="38" spans="1:8" x14ac:dyDescent="0.2">
      <c r="A38" s="18"/>
      <c r="C38" s="23"/>
      <c r="D38" s="23"/>
      <c r="E38" s="23"/>
      <c r="G38" s="27" t="s">
        <v>52</v>
      </c>
      <c r="H38" s="36">
        <f>(('Financial Statements'!B61-'Financial Statements'!D61)/'Financial Statements'!D61)*100</f>
        <v>-3.3011876701685199</v>
      </c>
    </row>
    <row r="39" spans="1:8" x14ac:dyDescent="0.2">
      <c r="A39" s="18">
        <f>+A33+1</f>
        <v>5</v>
      </c>
      <c r="B39" s="55" t="s">
        <v>128</v>
      </c>
      <c r="C39" s="57"/>
      <c r="D39" s="57"/>
      <c r="E39" s="25"/>
      <c r="G39" s="61" t="s">
        <v>40</v>
      </c>
      <c r="H39" s="36">
        <f>(('Financial Statements'!B62-'Financial Statements'!D62)/'Financial Statements'!D62)*100</f>
        <v>16.837814108737607</v>
      </c>
    </row>
    <row r="40" spans="1:8" x14ac:dyDescent="0.2">
      <c r="A40" s="18">
        <f>+A39+0.1</f>
        <v>5.0999999999999996</v>
      </c>
      <c r="B40" s="50" t="s">
        <v>129</v>
      </c>
      <c r="C40" s="33">
        <f>'Financial Statements'!$G$5/'List of Ratios'!C41</f>
        <v>32089.743720128656</v>
      </c>
      <c r="D40" s="33">
        <f>'Financial Statements'!$G$5/'List of Ratios'!D41</f>
        <v>34838.415927334179</v>
      </c>
      <c r="E40" s="34">
        <f>'Financial Statements'!$G$5/'List of Ratios'!E41</f>
        <v>59693.151181829264</v>
      </c>
      <c r="G40" s="27"/>
      <c r="H40" s="36"/>
    </row>
    <row r="41" spans="1:8" x14ac:dyDescent="0.2">
      <c r="A41" s="18">
        <f t="shared" ref="A41:A44" si="4">+A40+0.1</f>
        <v>5.1999999999999993</v>
      </c>
      <c r="B41" s="53" t="s">
        <v>130</v>
      </c>
      <c r="C41" s="79">
        <f>'Financial Statements'!B22/'Financial Statements'!B27</f>
        <v>6.1546144376377768E-3</v>
      </c>
      <c r="D41" s="79">
        <f>'Financial Statements'!C22/'Financial Statements'!C27</f>
        <v>5.6690292811230189E-3</v>
      </c>
      <c r="E41" s="80">
        <f>'Financial Statements'!D22/'Financial Statements'!D27</f>
        <v>3.3085872682177895E-3</v>
      </c>
      <c r="G41" s="61" t="s">
        <v>41</v>
      </c>
      <c r="H41" s="36"/>
    </row>
    <row r="42" spans="1:8" x14ac:dyDescent="0.2">
      <c r="A42" s="18">
        <f t="shared" si="4"/>
        <v>5.2999999999999989</v>
      </c>
      <c r="B42" s="51" t="s">
        <v>131</v>
      </c>
      <c r="C42" s="23">
        <f>'Financial Statements'!$G$5/'List of Ratios'!C43</f>
        <v>63203.597499605312</v>
      </c>
      <c r="D42" s="23">
        <f>'Financial Statements'!$G$5/'List of Ratios'!D43</f>
        <v>52282.472975114913</v>
      </c>
      <c r="E42" s="36">
        <f>'Financial Statements'!$G$5/'List of Ratios'!E43</f>
        <v>52450.198235357137</v>
      </c>
      <c r="G42" s="27" t="s">
        <v>177</v>
      </c>
      <c r="H42" s="36">
        <f>(('Financial Statements'!B65-'Financial Statements'!D65)/'Financial Statements'!D65)*100</f>
        <v>27.708304614112134</v>
      </c>
    </row>
    <row r="43" spans="1:8" x14ac:dyDescent="0.2">
      <c r="A43" s="18">
        <f t="shared" si="4"/>
        <v>5.3999999999999986</v>
      </c>
      <c r="B43" s="53" t="s">
        <v>132</v>
      </c>
      <c r="C43" s="79">
        <f>'Financial Statements'!B68/'Financial Statements'!B27</f>
        <v>3.124822127430853E-3</v>
      </c>
      <c r="D43" s="79">
        <f>'Financial Statements'!C68/'Financial Statements'!C27</f>
        <v>3.7775565837141027E-3</v>
      </c>
      <c r="E43" s="80">
        <f>'Financial Statements'!D68/'Financial Statements'!D27</f>
        <v>3.7654767120949319E-3</v>
      </c>
      <c r="G43" s="27" t="s">
        <v>42</v>
      </c>
      <c r="H43" s="36">
        <f>(('Financial Statements'!B66-'Financial Statements'!D66)/'Financial Statements'!D66)*100</f>
        <v>-120.49979954563679</v>
      </c>
    </row>
    <row r="44" spans="1:8" x14ac:dyDescent="0.2">
      <c r="A44" s="18">
        <f t="shared" si="4"/>
        <v>5.4999999999999982</v>
      </c>
      <c r="B44" s="51" t="s">
        <v>133</v>
      </c>
      <c r="C44" s="23">
        <f>'Financial Statements'!B102/'Financial Statements'!B22</f>
        <v>-0.14870294480125848</v>
      </c>
      <c r="D44" s="23">
        <f>'Financial Statements'!C102/'Financial Statements'!C22</f>
        <v>-0.15279890156316012</v>
      </c>
      <c r="E44" s="36">
        <f>'Financial Statements'!D102/'Financial Statements'!D22</f>
        <v>-0.24526658654264863</v>
      </c>
      <c r="G44" s="27" t="s">
        <v>43</v>
      </c>
      <c r="H44" s="36">
        <f>(('Financial Statements'!B67-'Financial Statements'!D67)/'Financial Statements'!D67)*100</f>
        <v>2636.2068965517242</v>
      </c>
    </row>
    <row r="45" spans="1:8" x14ac:dyDescent="0.2">
      <c r="A45" s="18"/>
      <c r="B45" s="53" t="s">
        <v>134</v>
      </c>
      <c r="C45" s="79">
        <f>'Financial Statements'!B102/'Financial Statements'!B27</f>
        <v>-9.1520929099307886E-4</v>
      </c>
      <c r="D45" s="79">
        <f>'Financial Statements'!C102/'Financial Statements'!C27</f>
        <v>-8.6622144708498852E-4</v>
      </c>
      <c r="E45" s="80">
        <f>'Financial Statements'!D102/'Financial Statements'!D27</f>
        <v>-8.1148590555424381E-4</v>
      </c>
      <c r="F45" s="47"/>
      <c r="G45" s="27" t="s">
        <v>44</v>
      </c>
      <c r="H45" s="36">
        <f>(('Financial Statements'!B68-'Financial Statements'!D68)/'Financial Statements'!D68)*100</f>
        <v>-22.447542815163992</v>
      </c>
    </row>
    <row r="46" spans="1:8" x14ac:dyDescent="0.2">
      <c r="A46" s="18">
        <f>+A44+0.1</f>
        <v>5.5999999999999979</v>
      </c>
      <c r="B46" s="51" t="s">
        <v>135</v>
      </c>
      <c r="C46" s="23">
        <f>'Financial Statements'!B102/'Financial Statements'!$G$5</f>
        <v>-75.144303797468353</v>
      </c>
      <c r="D46" s="23">
        <f>'Financial Statements'!C102/'Financial Statements'!$G$5</f>
        <v>-73.250632911392401</v>
      </c>
      <c r="E46" s="36">
        <f>'Financial Statements'!D102/'Financial Statements'!$G$5</f>
        <v>-71.296202531645577</v>
      </c>
      <c r="G46" s="28" t="s">
        <v>45</v>
      </c>
      <c r="H46" s="39">
        <f>(('Financial Statements'!B69-'Financial Statements'!D69)/'Financial Statements'!D69)*100</f>
        <v>8.9126488168749685</v>
      </c>
    </row>
    <row r="47" spans="1:8" x14ac:dyDescent="0.2">
      <c r="A47" s="18">
        <f t="shared" ref="A47:A50" si="5">+A45+0.1</f>
        <v>0.1</v>
      </c>
      <c r="B47" s="51" t="s">
        <v>136</v>
      </c>
      <c r="C47" s="23" t="s">
        <v>152</v>
      </c>
      <c r="D47" s="23">
        <f>'Financial Statements'!C22/(('Financial Statements'!B68+'Financial Statements'!C68)/2)</f>
        <v>1.6645276981768957</v>
      </c>
      <c r="E47" s="36">
        <f>'Financial Statements'!D22/(('Financial Statements'!C68+'Financial Statements'!D68)/2)</f>
        <v>0.89405040917549772</v>
      </c>
      <c r="H47" s="23"/>
    </row>
    <row r="48" spans="1:8" x14ac:dyDescent="0.2">
      <c r="A48" s="18">
        <f t="shared" si="5"/>
        <v>5.6999999999999975</v>
      </c>
      <c r="B48" s="51" t="s">
        <v>137</v>
      </c>
      <c r="C48" s="23">
        <f>(('Financial Statements'!B18)/('Financial Statements'!B68+'Financial Statements'!B59))*100</f>
        <v>79.821026391589982</v>
      </c>
      <c r="D48" s="23">
        <f>(('Financial Statements'!C18)/('Financial Statements'!C68+'Financial Statements'!C59))*100</f>
        <v>63.270343097400641</v>
      </c>
      <c r="E48" s="36">
        <f>(('Financial Statements'!D18)/('Financial Statements'!D68+'Financial Statements'!D59))*100</f>
        <v>40.418033486579759</v>
      </c>
    </row>
    <row r="49" spans="1:5" x14ac:dyDescent="0.2">
      <c r="A49" s="18">
        <f t="shared" si="5"/>
        <v>0.2</v>
      </c>
      <c r="B49" s="51" t="s">
        <v>127</v>
      </c>
      <c r="C49" s="23" t="str">
        <f>C37</f>
        <v>N/A</v>
      </c>
      <c r="D49" s="23">
        <f t="shared" ref="D49:E49" si="6">D37</f>
        <v>0.17923128180276229</v>
      </c>
      <c r="E49" s="36">
        <f t="shared" si="6"/>
        <v>0.11192406218198407</v>
      </c>
    </row>
    <row r="50" spans="1:5" x14ac:dyDescent="0.2">
      <c r="A50" s="18">
        <f t="shared" si="5"/>
        <v>5.7999999999999972</v>
      </c>
      <c r="B50" s="51" t="s">
        <v>138</v>
      </c>
      <c r="C50" s="23">
        <f>C51/C19</f>
        <v>24597.288421513436</v>
      </c>
      <c r="D50" s="23">
        <f t="shared" ref="D50:E50" si="7">D51/D19</f>
        <v>27376.194064286959</v>
      </c>
      <c r="E50" s="36">
        <f t="shared" si="7"/>
        <v>43854.695976812931</v>
      </c>
    </row>
    <row r="51" spans="1:5" x14ac:dyDescent="0.2">
      <c r="A51" s="18"/>
      <c r="B51" s="52" t="s">
        <v>139</v>
      </c>
      <c r="C51" s="38">
        <f>'Financial Statements'!G36+'Financial Statements'!B59+'Financial Statements'!B55-'Financial Statements'!B36</f>
        <v>3202739133.5</v>
      </c>
      <c r="D51" s="38">
        <f>'Financial Statements'!H36+'Financial Statements'!C59+'Financial Statements'!C55-'Financial Statements'!C36</f>
        <v>3298584999</v>
      </c>
      <c r="E51" s="39">
        <f>'Financial Statements'!I36+'Financial Statements'!D59+'Financial Statements'!D55-'Financial Statements'!D36</f>
        <v>3427112926.5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Seewoodhary, Jay</cp:lastModifiedBy>
  <dcterms:created xsi:type="dcterms:W3CDTF">2020-05-18T16:32:37Z</dcterms:created>
  <dcterms:modified xsi:type="dcterms:W3CDTF">2023-12-17T06:18:42Z</dcterms:modified>
</cp:coreProperties>
</file>