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/Downloads/"/>
    </mc:Choice>
  </mc:AlternateContent>
  <xr:revisionPtr revIDLastSave="0" documentId="8_{7ED88EE9-909D-EC44-B8C8-861EA8B14A44}" xr6:coauthVersionLast="47" xr6:coauthVersionMax="47" xr10:uidLastSave="{00000000-0000-0000-0000-000000000000}"/>
  <bookViews>
    <workbookView xWindow="0" yWindow="760" windowWidth="23260" windowHeight="13900" activeTab="2" xr2:uid="{00000000-000D-0000-FFFF-FFFF00000000}"/>
  </bookViews>
  <sheets>
    <sheet name="Instructions" sheetId="1" r:id="rId1"/>
    <sheet name="Financial Statements" sheetId="2" r:id="rId2"/>
    <sheet name="List of Ratios" sheetId="3" r:id="rId3"/>
    <sheet name="Char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" l="1"/>
  <c r="D30" i="3" s="1"/>
  <c r="E31" i="3"/>
  <c r="C31" i="3"/>
  <c r="C30" i="3" s="1"/>
  <c r="J4" i="3"/>
  <c r="K4" i="3"/>
  <c r="I4" i="3"/>
  <c r="D21" i="3"/>
  <c r="E21" i="3"/>
  <c r="C21" i="3"/>
  <c r="C20" i="3" s="1"/>
  <c r="D29" i="3"/>
  <c r="E29" i="3"/>
  <c r="C8" i="3"/>
  <c r="D8" i="3"/>
  <c r="E8" i="3"/>
  <c r="D50" i="3"/>
  <c r="E50" i="3"/>
  <c r="D51" i="3"/>
  <c r="E51" i="3"/>
  <c r="C51" i="3"/>
  <c r="J5" i="3"/>
  <c r="K5" i="3"/>
  <c r="I5" i="3"/>
  <c r="D48" i="3"/>
  <c r="E48" i="3"/>
  <c r="C48" i="3"/>
  <c r="D49" i="3"/>
  <c r="E49" i="3"/>
  <c r="C49" i="3"/>
  <c r="D47" i="3"/>
  <c r="E47" i="3"/>
  <c r="C47" i="3"/>
  <c r="D42" i="3"/>
  <c r="E42" i="3"/>
  <c r="C42" i="3"/>
  <c r="D43" i="3"/>
  <c r="E43" i="3"/>
  <c r="C43" i="3"/>
  <c r="D40" i="3"/>
  <c r="E40" i="3"/>
  <c r="C40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E30" i="3"/>
  <c r="D28" i="3"/>
  <c r="E28" i="3"/>
  <c r="D27" i="3"/>
  <c r="E27" i="3"/>
  <c r="C27" i="3"/>
  <c r="D26" i="3"/>
  <c r="E26" i="3"/>
  <c r="C26" i="3"/>
  <c r="D25" i="3"/>
  <c r="E25" i="3"/>
  <c r="C25" i="3"/>
  <c r="D22" i="3"/>
  <c r="E22" i="3"/>
  <c r="C22" i="3"/>
  <c r="D19" i="3"/>
  <c r="D18" i="3" s="1"/>
  <c r="E19" i="3"/>
  <c r="E18" i="3" s="1"/>
  <c r="D20" i="3"/>
  <c r="E20" i="3"/>
  <c r="D17" i="3"/>
  <c r="E17" i="3"/>
  <c r="C17" i="3"/>
  <c r="D13" i="3"/>
  <c r="E13" i="3"/>
  <c r="C13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D7" i="3"/>
  <c r="E7" i="3"/>
  <c r="C7" i="3"/>
  <c r="D6" i="3"/>
  <c r="E6" i="3"/>
  <c r="C6" i="3"/>
  <c r="D5" i="3"/>
  <c r="E5" i="3"/>
  <c r="C5" i="3"/>
  <c r="B80" i="2"/>
  <c r="C80" i="2"/>
  <c r="D80" i="2"/>
  <c r="B63" i="2"/>
  <c r="C63" i="2"/>
  <c r="D63" i="2"/>
  <c r="D60" i="2"/>
  <c r="D59" i="2" s="1"/>
  <c r="C60" i="2"/>
  <c r="C59" i="2" s="1"/>
  <c r="B60" i="2"/>
  <c r="B59" i="2" s="1"/>
  <c r="D45" i="2"/>
  <c r="D44" i="2" s="1"/>
  <c r="C45" i="2"/>
  <c r="C44" i="2" s="1"/>
  <c r="B45" i="2"/>
  <c r="B44" i="2" s="1"/>
  <c r="C19" i="2"/>
  <c r="D19" i="2"/>
  <c r="B19" i="2"/>
  <c r="C28" i="3" l="1"/>
  <c r="C19" i="3"/>
  <c r="C29" i="3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C18" i="3" l="1"/>
  <c r="C50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<sst xmlns="http://schemas.openxmlformats.org/spreadsheetml/2006/main" count="175" uniqueCount="149">
  <si>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</si>
  <si>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</si>
  <si>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</si>
  <si>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</si>
  <si>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</si>
  <si>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</si>
  <si>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</si>
  <si>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</si>
  <si>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</si>
  <si>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</si>
  <si>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</si>
  <si>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</si>
  <si>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</si>
  <si>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</si>
  <si>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</si>
  <si>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</si>
  <si>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</si>
  <si>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</si>
  <si>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</si>
  <si>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</si>
  <si>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</si>
  <si>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</si>
  <si>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</si>
  <si>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</si>
  <si>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</si>
  <si>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</si>
  <si>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</si>
  <si>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</si>
  <si>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</si>
  <si>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</si>
  <si>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</si>
  <si>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</si>
  <si>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</si>
  <si>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</si>
  <si>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</si>
  <si>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</si>
  <si>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</si>
  <si>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</si>
  <si>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</si>
  <si>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</si>
  <si>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</si>
  <si>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</si>
  <si>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</si>
  <si>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</si>
  <si>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</si>
  <si>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</si>
  <si>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</si>
  <si>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</si>
  <si>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</si>
  <si>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</si>
  <si>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</si>
  <si>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</si>
  <si>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</si>
  <si>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</si>
  <si>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</si>
  <si>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</si>
  <si>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</si>
  <si>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</si>
  <si>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</si>
  <si>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</si>
  <si>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</si>
  <si>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</si>
  <si>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sales:</t>
  </si>
  <si>
    <t>Products</t>
  </si>
  <si>
    <t>Services</t>
  </si>
  <si>
    <t>Total net sales (Revenue)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</si>
  <si>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</si>
  <si>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</si>
  <si>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</si>
  <si>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</si>
  <si>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</si>
  <si>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</si>
  <si>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</si>
  <si>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</si>
  <si>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</si>
  <si>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</si>
  <si>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</si>
  <si>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</si>
  <si>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</si>
  <si>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</si>
  <si>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</si>
  <si>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</si>
  <si>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</si>
  <si>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</si>
  <si>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</si>
  <si>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</si>
  <si>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</si>
  <si>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</si>
  <si>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</si>
  <si>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</si>
  <si>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</si>
  <si>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</si>
  <si>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</si>
  <si>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</si>
  <si>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</si>
  <si>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</si>
  <si>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</si>
  <si>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</si>
  <si>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</si>
  <si>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</si>
  <si>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</si>
  <si>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</si>
  <si>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</si>
  <si>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</si>
  <si>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</si>
  <si>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</si>
  <si>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Common stock and additional paid in capital.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</si>
  <si>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</si>
  <si>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</si>
  <si>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</si>
  <si>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</si>
  <si>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</si>
  <si>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</si>
  <si>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</si>
  <si>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</si>
  <si>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</si>
  <si>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</si>
  <si>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</si>
  <si>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</si>
  <si>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</si>
  <si>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</si>
  <si>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</si>
  <si>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</si>
  <si>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</si>
  <si>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</si>
  <si>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</si>
  <si>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</si>
  <si>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</si>
  <si>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</si>
  <si>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</si>
  <si>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</si>
  <si>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</si>
  <si>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</si>
  <si>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</si>
  <si>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</si>
  <si>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</si>
  <si>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Amazon Inc.</t>
  </si>
  <si>
    <t>Marketing</t>
  </si>
  <si>
    <t xml:space="preserve">   Fulfillment</t>
  </si>
  <si>
    <t xml:space="preserve">   Total cost of goods</t>
  </si>
  <si>
    <t>Operating Expenses:</t>
  </si>
  <si>
    <t>Proceeds from sales and maturities of marketable securities</t>
  </si>
  <si>
    <t>-</t>
  </si>
  <si>
    <t>Amazon Market Stock Price (Today)</t>
  </si>
  <si>
    <t>N/A</t>
  </si>
  <si>
    <t>Market Capitalisation</t>
  </si>
  <si>
    <t>Remove other income, EBIT is operating income only</t>
  </si>
  <si>
    <t>Net debt issued is in cash flow statement, proceeds from debt - repayments not the debt balance in the balance sheet</t>
  </si>
  <si>
    <t>Net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</si>
</sst>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0" fillId="5" borderId="0" xfId="0" applyFill="1" applyAlignment="1">
      <alignment horizontal="left" indent="1"/>
    </xf>
    <xf numFmtId="164" fontId="0" fillId="0" borderId="0" xfId="1" applyNumberFormat="1" applyFont="1" applyBorder="1"/>
    <xf numFmtId="164" fontId="2" fillId="0" borderId="0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1" xfId="1" applyNumberFormat="1" applyFont="1" applyBorder="1"/>
    <xf numFmtId="164" fontId="0" fillId="0" borderId="0" xfId="0" applyNumberFormat="1"/>
    <xf numFmtId="0" fontId="0" fillId="0" borderId="3" xfId="0" applyBorder="1"/>
    <xf numFmtId="0" fontId="0" fillId="0" borderId="1" xfId="0" applyBorder="1"/>
    <xf numFmtId="164" fontId="1" fillId="0" borderId="1" xfId="1" applyNumberFormat="1" applyFont="1" applyBorder="1"/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10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Amazon Inc Current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'List of Ratios'!$C$5:$E$5</c:f>
              <c:numCache>
                <c:formatCode>0.00</c:formatCode>
                <c:ptCount val="3"/>
                <c:pt idx="0">
                  <c:v>1.0970482394205803</c:v>
                </c:pt>
                <c:pt idx="1">
                  <c:v>1.0981123247210891</c:v>
                </c:pt>
                <c:pt idx="2">
                  <c:v>1.039977195376881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8-5741-86DA-B431D953D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42351"/>
        <c:axId val="2115364688"/>
      </c:lineChart>
      <c:catAx>
        <c:axId val="49474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5364688"/>
        <c:crosses val="autoZero"/>
        <c:auto val="1"/>
        <c:lblAlgn val="ctr"/>
        <c:lblOffset val="100"/>
        <c:noMultiLvlLbl val="0"/>
      </c:catAx>
      <c:valAx>
        <c:axId val="21153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42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Amazon Inc Quick</a:t>
            </a:r>
            <a:r>
              <a:rPr lang="en-GB" baseline="0"/>
              <a:t> Ratio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'List of Ratios'!$C$6:$E$6</c:f>
              <c:numCache>
                <c:formatCode>0.00</c:formatCode>
                <c:ptCount val="3"/>
                <c:pt idx="0">
                  <c:v>0.85999635585113654</c:v>
                </c:pt>
                <c:pt idx="1">
                  <c:v>0.85426445000073103</c:v>
                </c:pt>
                <c:pt idx="2">
                  <c:v>0.76274553841369663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3-FA49-96F9-845431643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615328"/>
        <c:axId val="2048773152"/>
      </c:lineChart>
      <c:catAx>
        <c:axId val="209661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773152"/>
        <c:crosses val="autoZero"/>
        <c:auto val="1"/>
        <c:lblAlgn val="ctr"/>
        <c:lblOffset val="100"/>
        <c:noMultiLvlLbl val="0"/>
      </c:catAx>
      <c:valAx>
        <c:axId val="204877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61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Amazon Inc.</a:t>
            </a:r>
            <a:r>
              <a:rPr lang="en-GB" baseline="0"/>
              <a:t> Gross Profit Margin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'List of Ratios'!$C$3:$E$3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'List of Ratios'!$C$17:$E$17</c:f>
              <c:numCache>
                <c:formatCode>0.00%</c:formatCode>
                <c:ptCount val="3"/>
                <c:pt idx="0">
                  <c:v>0.40990011478600608</c:v>
                </c:pt>
                <c:pt idx="1">
                  <c:v>0.40247416128852193</c:v>
                </c:pt>
                <c:pt idx="2">
                  <c:v>0.3706835482891615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8-B84A-A7B8-FE1A88FEF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411199"/>
        <c:axId val="185415727"/>
      </c:lineChart>
      <c:catAx>
        <c:axId val="185411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15727"/>
        <c:crosses val="autoZero"/>
        <c:auto val="1"/>
        <c:lblAlgn val="ctr"/>
        <c:lblOffset val="100"/>
        <c:noMultiLvlLbl val="0"/>
      </c:catAx>
      <c:valAx>
        <c:axId val="18541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1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 Margin</a:t>
            </a:r>
            <a:r>
              <a:rPr lang="en-GB" baseline="0"/>
              <a:t> Amazon Inc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5.0925337632079971E-17"/>
                  <c:y val="5.5555555555555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1C-764D-98F1-DD4019572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'List of Ratios'!$C$3:$E$3</c:f>
              <c:numCache>
                <c:formatCode>General</c:formatCode>
                <c:ptCount val="3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</c:numCache>
            </c:numRef>
          </c:cat>
          <c:val>
            <c:numRef>
              <c:f>'List of Ratios'!$C$22:$E$22</c:f>
              <c:numCache>
                <c:formatCode>0.00%</c:formatCode>
                <c:ptCount val="3"/>
                <c:pt idx="0">
                  <c:v>4.1308703060722513E-2</c:v>
                </c:pt>
                <c:pt idx="1">
                  <c:v>4.3252736305590261E-2</c:v>
                </c:pt>
                <c:pt idx="2">
                  <c:v>1.7052162864178651E-2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1C-764D-98F1-DD4019572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970335"/>
        <c:axId val="420937087"/>
      </c:lineChart>
      <c:catAx>
        <c:axId val="49497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937087"/>
        <c:crosses val="autoZero"/>
        <c:auto val="1"/>
        <c:lblAlgn val="ctr"/>
        <c:lblOffset val="100"/>
        <c:noMultiLvlLbl val="0"/>
      </c:catAx>
      <c:valAx>
        <c:axId val="42093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970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63500</xdr:rowOff>
    </xdr:from>
    <xdr:to>
      <xdr:col>6</xdr:col>
      <xdr:colOff>467756</xdr:colOff>
      <xdr:row>16</xdr:row>
      <xdr:rowOff>53109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8AA5A1-F777-8D4C-AD9B-F5C0C4C61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</xdr:colOff>
      <xdr:row>18</xdr:row>
      <xdr:rowOff>76200</xdr:rowOff>
    </xdr:from>
    <xdr:to>
      <xdr:col>6</xdr:col>
      <xdr:colOff>480456</xdr:colOff>
      <xdr:row>33</xdr:row>
      <xdr:rowOff>73231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EA8F08-73E5-E54F-A81F-9DD2430E6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</xdr:row>
      <xdr:rowOff>38100</xdr:rowOff>
    </xdr:from>
    <xdr:to>
      <xdr:col>12</xdr:col>
      <xdr:colOff>482600</xdr:colOff>
      <xdr:row>15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5B85E5-B628-104A-BB59-E60E2560D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215900</xdr:colOff>
      <xdr:row>18</xdr:row>
      <xdr:rowOff>165100</xdr:rowOff>
    </xdr:from>
    <xdr:to>
      <xdr:col>12</xdr:col>
      <xdr:colOff>660400</xdr:colOff>
      <xdr:row>33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F60B0A-32A6-1348-AE24-7DFA1376C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157.83203125" style="2" customWidth="1"/>
  </cols>
  <sheetData>
    <row r="1" spans="1:1" ht="25" x14ac:dyDescent="0.3">
      <c r="A1" s="3" t="s">
        <v>0</v>
      </c>
    </row>
    <row r="3" spans="1:1" ht="16" x14ac:dyDescent="0.2">
      <c r="A3" s="2" t="s">
        <v>61</v>
      </c>
    </row>
    <row r="4" spans="1:1" ht="16" x14ac:dyDescent="0.2">
      <c r="A4" s="5" t="s">
        <v>5</v>
      </c>
    </row>
    <row r="5" spans="1:1" ht="16" x14ac:dyDescent="0.2">
      <c r="A5" s="6" t="s">
        <v>1</v>
      </c>
    </row>
    <row r="7" spans="1:1" ht="16" x14ac:dyDescent="0.2">
      <c r="A7" s="2" t="s">
        <v>59</v>
      </c>
    </row>
    <row r="8" spans="1:1" ht="16" x14ac:dyDescent="0.2">
      <c r="A8" s="2" t="s">
        <v>60</v>
      </c>
    </row>
    <row r="9" spans="1:1" ht="16" x14ac:dyDescent="0.2">
      <c r="A9" s="2" t="s">
        <v>2</v>
      </c>
    </row>
    <row r="10" spans="1:1" ht="16" x14ac:dyDescent="0.2">
      <c r="A10" s="2" t="s">
        <v>6</v>
      </c>
    </row>
    <row r="11" spans="1:1" ht="16" x14ac:dyDescent="0.2">
      <c r="A11" s="2" t="s">
        <v>4</v>
      </c>
    </row>
    <row r="13" spans="1:1" ht="16" x14ac:dyDescent="0.2">
      <c r="A13" s="4" t="s">
        <v>3</v>
      </c>
    </row>
    <row r="14" spans="1:1" ht="16" x14ac:dyDescent="0.2">
      <c r="A14" s="2" t="s">
        <v>7</v>
      </c>
    </row>
    <row r="15" spans="1:1" ht="16" x14ac:dyDescent="0.2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topLeftCell="A76" workbookViewId="0">
      <selection activeCell="I4" sqref="I4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7" max="7" width="28" customWidth="1"/>
  </cols>
  <sheetData>
    <row r="1" spans="1:10" ht="60" customHeight="1" x14ac:dyDescent="0.2">
      <c r="A1" s="7" t="s">
        <v>136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">
      <c r="A2" s="41" t="s">
        <v>10</v>
      </c>
      <c r="B2" s="41"/>
      <c r="C2" s="41"/>
      <c r="D2" s="41"/>
    </row>
    <row r="3" spans="1:10" x14ac:dyDescent="0.2">
      <c r="B3" s="40" t="s">
        <v>56</v>
      </c>
      <c r="C3" s="40"/>
      <c r="D3" s="40"/>
    </row>
    <row r="4" spans="1:10" x14ac:dyDescent="0.2">
      <c r="B4" s="9">
        <v>2019</v>
      </c>
      <c r="C4" s="9">
        <v>2018</v>
      </c>
      <c r="D4" s="9">
        <v>2017</v>
      </c>
      <c r="G4" t="s">
        <v>143</v>
      </c>
      <c r="H4">
        <v>153.41</v>
      </c>
    </row>
    <row r="5" spans="1:10" x14ac:dyDescent="0.2">
      <c r="A5" t="s">
        <v>62</v>
      </c>
    </row>
    <row r="6" spans="1:10" x14ac:dyDescent="0.2">
      <c r="A6" s="1" t="s">
        <v>63</v>
      </c>
      <c r="B6">
        <v>160408</v>
      </c>
      <c r="C6">
        <v>141915</v>
      </c>
      <c r="D6">
        <v>118573</v>
      </c>
    </row>
    <row r="7" spans="1:10" x14ac:dyDescent="0.2">
      <c r="A7" s="1" t="s">
        <v>64</v>
      </c>
      <c r="B7" s="10">
        <v>120114</v>
      </c>
      <c r="C7" s="10">
        <v>90972</v>
      </c>
      <c r="D7" s="10">
        <v>59293</v>
      </c>
    </row>
    <row r="8" spans="1:10" x14ac:dyDescent="0.2">
      <c r="A8" s="11" t="s">
        <v>65</v>
      </c>
      <c r="B8" s="12">
        <v>280522</v>
      </c>
      <c r="C8" s="12">
        <v>232887</v>
      </c>
      <c r="D8" s="12">
        <v>177866</v>
      </c>
    </row>
    <row r="9" spans="1:10" x14ac:dyDescent="0.2">
      <c r="A9" s="11" t="s">
        <v>140</v>
      </c>
      <c r="B9" s="32"/>
      <c r="C9" s="32"/>
      <c r="D9" s="32"/>
    </row>
    <row r="10" spans="1:10" x14ac:dyDescent="0.2">
      <c r="A10" s="33" t="s">
        <v>139</v>
      </c>
      <c r="B10" s="12">
        <v>165536</v>
      </c>
      <c r="C10" s="12">
        <v>139156</v>
      </c>
      <c r="D10" s="12">
        <v>111934</v>
      </c>
    </row>
    <row r="11" spans="1:10" x14ac:dyDescent="0.2">
      <c r="A11" t="s">
        <v>138</v>
      </c>
      <c r="B11" s="10">
        <v>40232</v>
      </c>
      <c r="C11" s="10">
        <v>34027</v>
      </c>
      <c r="D11" s="10">
        <v>25249</v>
      </c>
    </row>
    <row r="12" spans="1:10" x14ac:dyDescent="0.2">
      <c r="A12" s="1" t="s">
        <v>66</v>
      </c>
      <c r="B12" s="10">
        <v>35931</v>
      </c>
      <c r="C12" s="10">
        <v>28837</v>
      </c>
      <c r="D12" s="10">
        <v>22620</v>
      </c>
    </row>
    <row r="13" spans="1:10" x14ac:dyDescent="0.2">
      <c r="A13" s="1" t="s">
        <v>67</v>
      </c>
      <c r="B13" s="10">
        <v>5203</v>
      </c>
      <c r="C13" s="10">
        <v>4336</v>
      </c>
      <c r="D13" s="10">
        <v>3674</v>
      </c>
    </row>
    <row r="14" spans="1:10" x14ac:dyDescent="0.2">
      <c r="A14" s="1" t="s">
        <v>137</v>
      </c>
      <c r="B14" s="10">
        <v>18878</v>
      </c>
      <c r="C14" s="10">
        <v>13814</v>
      </c>
      <c r="D14" s="10">
        <v>10069</v>
      </c>
      <c r="F14" s="31"/>
    </row>
    <row r="15" spans="1:10" x14ac:dyDescent="0.2">
      <c r="A15" s="1" t="s">
        <v>70</v>
      </c>
      <c r="B15" s="10">
        <v>201</v>
      </c>
      <c r="C15" s="10">
        <v>296</v>
      </c>
      <c r="D15" s="10">
        <v>214</v>
      </c>
    </row>
    <row r="16" spans="1:10" x14ac:dyDescent="0.2">
      <c r="A16" s="11" t="s">
        <v>68</v>
      </c>
      <c r="B16" s="12">
        <v>265981</v>
      </c>
      <c r="C16" s="12">
        <v>220466</v>
      </c>
      <c r="D16" s="12">
        <v>173760</v>
      </c>
      <c r="G16" s="31"/>
    </row>
    <row r="17" spans="1:8" x14ac:dyDescent="0.2">
      <c r="A17" s="11" t="s">
        <v>69</v>
      </c>
      <c r="B17" s="12">
        <v>14541</v>
      </c>
      <c r="C17" s="12">
        <v>12421</v>
      </c>
      <c r="D17" s="12">
        <v>4106</v>
      </c>
    </row>
    <row r="18" spans="1:8" s="11" customFormat="1" x14ac:dyDescent="0.2">
      <c r="A18" t="s">
        <v>70</v>
      </c>
      <c r="B18" s="10">
        <v>203</v>
      </c>
      <c r="C18" s="10">
        <v>183</v>
      </c>
      <c r="D18" s="10">
        <v>346</v>
      </c>
    </row>
    <row r="19" spans="1:8" x14ac:dyDescent="0.2">
      <c r="A19" s="11" t="s">
        <v>71</v>
      </c>
      <c r="B19" s="12">
        <f>B17-B18</f>
        <v>14338</v>
      </c>
      <c r="C19" s="12">
        <f t="shared" ref="C19:D19" si="0">C17-C18</f>
        <v>12238</v>
      </c>
      <c r="D19" s="12">
        <f t="shared" si="0"/>
        <v>3760</v>
      </c>
    </row>
    <row r="20" spans="1:8" x14ac:dyDescent="0.2">
      <c r="A20" t="s">
        <v>72</v>
      </c>
      <c r="B20" s="10">
        <v>2374</v>
      </c>
      <c r="C20" s="10">
        <v>1197</v>
      </c>
      <c r="D20" s="10">
        <v>769</v>
      </c>
    </row>
    <row r="21" spans="1:8" x14ac:dyDescent="0.2">
      <c r="B21" s="31"/>
    </row>
    <row r="22" spans="1:8" ht="16" thickBot="1" x14ac:dyDescent="0.25">
      <c r="A22" s="13" t="s">
        <v>73</v>
      </c>
      <c r="B22" s="14">
        <v>11588</v>
      </c>
      <c r="C22" s="14">
        <v>10073</v>
      </c>
      <c r="D22" s="14">
        <v>3033</v>
      </c>
      <c r="F22" s="31"/>
    </row>
    <row r="23" spans="1:8" ht="16" thickTop="1" x14ac:dyDescent="0.2">
      <c r="A23" t="s">
        <v>74</v>
      </c>
    </row>
    <row r="24" spans="1:8" x14ac:dyDescent="0.2">
      <c r="A24" s="1" t="s">
        <v>75</v>
      </c>
      <c r="B24" s="15">
        <v>23.46</v>
      </c>
      <c r="C24" s="15">
        <v>20.68</v>
      </c>
      <c r="D24" s="15">
        <v>6.32</v>
      </c>
      <c r="H24" s="31"/>
    </row>
    <row r="25" spans="1:8" x14ac:dyDescent="0.2">
      <c r="A25" s="1" t="s">
        <v>76</v>
      </c>
      <c r="B25" s="15">
        <v>23.01</v>
      </c>
      <c r="C25" s="15">
        <v>20.14</v>
      </c>
      <c r="D25" s="15">
        <v>6.15</v>
      </c>
    </row>
    <row r="26" spans="1:8" x14ac:dyDescent="0.2">
      <c r="A26" t="s">
        <v>77</v>
      </c>
    </row>
    <row r="27" spans="1:8" x14ac:dyDescent="0.2">
      <c r="A27" s="1" t="s">
        <v>75</v>
      </c>
      <c r="B27" s="16">
        <v>494</v>
      </c>
      <c r="C27" s="16">
        <v>487</v>
      </c>
      <c r="D27" s="16">
        <v>480</v>
      </c>
    </row>
    <row r="28" spans="1:8" x14ac:dyDescent="0.2">
      <c r="A28" s="1" t="s">
        <v>76</v>
      </c>
      <c r="B28" s="16">
        <v>504</v>
      </c>
      <c r="C28" s="16">
        <v>500</v>
      </c>
      <c r="D28" s="16">
        <v>493</v>
      </c>
    </row>
    <row r="30" spans="1:8" x14ac:dyDescent="0.2">
      <c r="A30" s="41" t="s">
        <v>12</v>
      </c>
      <c r="B30" s="41"/>
      <c r="C30" s="41"/>
      <c r="D30" s="41"/>
    </row>
    <row r="31" spans="1:8" x14ac:dyDescent="0.2">
      <c r="B31" s="40" t="s">
        <v>57</v>
      </c>
      <c r="C31" s="40"/>
      <c r="D31" s="40"/>
    </row>
    <row r="32" spans="1:8" x14ac:dyDescent="0.2">
      <c r="B32" s="9">
        <v>2019</v>
      </c>
      <c r="C32" s="9">
        <v>2018</v>
      </c>
      <c r="D32" s="9">
        <v>2017</v>
      </c>
    </row>
    <row r="34" spans="1:8" x14ac:dyDescent="0.2">
      <c r="A34" t="s">
        <v>78</v>
      </c>
    </row>
    <row r="35" spans="1:8" x14ac:dyDescent="0.2">
      <c r="A35" s="1" t="s">
        <v>79</v>
      </c>
      <c r="B35" s="10">
        <v>36092</v>
      </c>
      <c r="C35" s="10">
        <v>31750</v>
      </c>
      <c r="D35" s="10">
        <v>20522</v>
      </c>
    </row>
    <row r="36" spans="1:8" x14ac:dyDescent="0.2">
      <c r="A36" s="1" t="s">
        <v>80</v>
      </c>
      <c r="B36" s="10">
        <v>18929</v>
      </c>
      <c r="C36" s="10">
        <v>9500</v>
      </c>
      <c r="D36" s="10">
        <v>10464</v>
      </c>
    </row>
    <row r="37" spans="1:8" x14ac:dyDescent="0.2">
      <c r="A37" s="1" t="s">
        <v>81</v>
      </c>
      <c r="B37" s="10">
        <v>20497</v>
      </c>
      <c r="C37" s="10">
        <v>17174</v>
      </c>
      <c r="D37" s="10">
        <v>13164</v>
      </c>
    </row>
    <row r="38" spans="1:8" x14ac:dyDescent="0.2">
      <c r="A38" s="1" t="s">
        <v>82</v>
      </c>
      <c r="B38" s="10">
        <v>20816</v>
      </c>
      <c r="C38" s="10">
        <v>16677</v>
      </c>
      <c r="D38" s="10">
        <v>16047</v>
      </c>
      <c r="F38" s="31"/>
    </row>
    <row r="39" spans="1:8" x14ac:dyDescent="0.2">
      <c r="A39" s="11" t="s">
        <v>84</v>
      </c>
      <c r="B39" s="30">
        <v>96334</v>
      </c>
      <c r="C39" s="30">
        <v>75101</v>
      </c>
      <c r="D39" s="34">
        <v>60197</v>
      </c>
    </row>
    <row r="40" spans="1:8" x14ac:dyDescent="0.2">
      <c r="A40" s="1"/>
      <c r="B40" s="10"/>
      <c r="C40" s="10"/>
      <c r="D40" s="10"/>
    </row>
    <row r="41" spans="1:8" x14ac:dyDescent="0.2">
      <c r="A41" t="s">
        <v>85</v>
      </c>
      <c r="B41" s="10"/>
      <c r="C41" s="10"/>
      <c r="D41" s="10"/>
    </row>
    <row r="42" spans="1:8" x14ac:dyDescent="0.2">
      <c r="A42" s="1" t="s">
        <v>80</v>
      </c>
      <c r="B42" s="10">
        <v>14754</v>
      </c>
      <c r="C42" s="10">
        <v>14548</v>
      </c>
      <c r="D42" s="10">
        <v>13350</v>
      </c>
    </row>
    <row r="43" spans="1:8" x14ac:dyDescent="0.2">
      <c r="A43" s="1" t="s">
        <v>86</v>
      </c>
      <c r="B43" s="10">
        <v>72705</v>
      </c>
      <c r="C43" s="10">
        <v>61797</v>
      </c>
      <c r="D43" s="10">
        <v>48866</v>
      </c>
    </row>
    <row r="44" spans="1:8" x14ac:dyDescent="0.2">
      <c r="A44" s="1" t="s">
        <v>87</v>
      </c>
      <c r="B44" s="10">
        <f>B45-B42-B43</f>
        <v>41455</v>
      </c>
      <c r="C44" s="10">
        <f t="shared" ref="C44:D44" si="1">C45-C42-C43</f>
        <v>11202</v>
      </c>
      <c r="D44" s="10">
        <f t="shared" si="1"/>
        <v>8897</v>
      </c>
    </row>
    <row r="45" spans="1:8" x14ac:dyDescent="0.2">
      <c r="A45" s="11" t="s">
        <v>88</v>
      </c>
      <c r="B45" s="12">
        <f>B46-B39</f>
        <v>128914</v>
      </c>
      <c r="C45" s="12">
        <f>C46-C39</f>
        <v>87547</v>
      </c>
      <c r="D45" s="12">
        <f>D46-D39</f>
        <v>71113</v>
      </c>
    </row>
    <row r="46" spans="1:8" ht="16" thickBot="1" x14ac:dyDescent="0.25">
      <c r="A46" s="13" t="s">
        <v>89</v>
      </c>
      <c r="B46" s="14">
        <v>225248</v>
      </c>
      <c r="C46" s="14">
        <v>162648</v>
      </c>
      <c r="D46" s="14">
        <v>131310</v>
      </c>
      <c r="E46" s="31"/>
    </row>
    <row r="47" spans="1:8" ht="16" thickTop="1" x14ac:dyDescent="0.2">
      <c r="H47" s="31"/>
    </row>
    <row r="48" spans="1:8" x14ac:dyDescent="0.2">
      <c r="A48" t="s">
        <v>90</v>
      </c>
    </row>
    <row r="49" spans="1:5" x14ac:dyDescent="0.2">
      <c r="A49" s="1" t="s">
        <v>91</v>
      </c>
      <c r="B49" s="10">
        <v>47183</v>
      </c>
      <c r="C49" s="10">
        <v>38192</v>
      </c>
      <c r="D49" s="10">
        <v>34616</v>
      </c>
    </row>
    <row r="50" spans="1:5" x14ac:dyDescent="0.2">
      <c r="A50" s="1" t="s">
        <v>92</v>
      </c>
      <c r="B50" s="10">
        <v>32439</v>
      </c>
      <c r="C50" s="10">
        <v>23663</v>
      </c>
      <c r="D50" s="10">
        <v>18170</v>
      </c>
    </row>
    <row r="51" spans="1:5" x14ac:dyDescent="0.2">
      <c r="A51" s="1" t="s">
        <v>93</v>
      </c>
      <c r="B51" s="10">
        <v>8190</v>
      </c>
      <c r="C51" s="10">
        <v>6536</v>
      </c>
      <c r="D51" s="10">
        <v>5097</v>
      </c>
    </row>
    <row r="52" spans="1:5" x14ac:dyDescent="0.2">
      <c r="A52" s="1" t="s">
        <v>94</v>
      </c>
      <c r="B52" s="10"/>
      <c r="C52" s="10"/>
      <c r="D52" s="10"/>
    </row>
    <row r="53" spans="1:5" x14ac:dyDescent="0.2">
      <c r="A53" s="1" t="s">
        <v>95</v>
      </c>
      <c r="B53" s="10"/>
      <c r="C53" s="10"/>
      <c r="D53" s="10"/>
    </row>
    <row r="54" spans="1:5" x14ac:dyDescent="0.2">
      <c r="A54" s="11" t="s">
        <v>96</v>
      </c>
      <c r="B54" s="12">
        <v>87812</v>
      </c>
      <c r="C54" s="12">
        <v>68391</v>
      </c>
      <c r="D54" s="12">
        <v>57883</v>
      </c>
    </row>
    <row r="55" spans="1:5" x14ac:dyDescent="0.2">
      <c r="A55" t="s">
        <v>97</v>
      </c>
      <c r="B55" s="10"/>
      <c r="C55" s="10"/>
      <c r="D55" s="10"/>
    </row>
    <row r="56" spans="1:5" x14ac:dyDescent="0.2">
      <c r="A56" s="1" t="s">
        <v>93</v>
      </c>
    </row>
    <row r="57" spans="1:5" x14ac:dyDescent="0.2">
      <c r="A57" s="1" t="s">
        <v>95</v>
      </c>
      <c r="B57" s="10">
        <v>23414</v>
      </c>
      <c r="C57" s="10">
        <v>23495</v>
      </c>
      <c r="D57" s="10">
        <v>24743</v>
      </c>
    </row>
    <row r="58" spans="1:5" x14ac:dyDescent="0.2">
      <c r="A58" s="1" t="s">
        <v>98</v>
      </c>
      <c r="B58" s="10">
        <v>12171</v>
      </c>
      <c r="C58" s="10">
        <v>27213</v>
      </c>
      <c r="D58" s="10">
        <v>20975</v>
      </c>
    </row>
    <row r="59" spans="1:5" x14ac:dyDescent="0.2">
      <c r="A59" s="24" t="s">
        <v>99</v>
      </c>
      <c r="B59" s="29">
        <f>B60-B54</f>
        <v>75376</v>
      </c>
      <c r="C59" s="29">
        <f t="shared" ref="C59:D59" si="2">C60-C54</f>
        <v>50716</v>
      </c>
      <c r="D59" s="29">
        <f t="shared" si="2"/>
        <v>45718</v>
      </c>
    </row>
    <row r="60" spans="1:5" x14ac:dyDescent="0.2">
      <c r="A60" s="11" t="s">
        <v>100</v>
      </c>
      <c r="B60" s="12">
        <f>B67-B66</f>
        <v>163188</v>
      </c>
      <c r="C60" s="12">
        <f>C67-C66</f>
        <v>119107</v>
      </c>
      <c r="D60" s="12">
        <f>D67-D66</f>
        <v>103601</v>
      </c>
    </row>
    <row r="61" spans="1:5" x14ac:dyDescent="0.2">
      <c r="B61" s="10"/>
      <c r="C61" s="10"/>
      <c r="D61" s="10"/>
      <c r="E61" s="31"/>
    </row>
    <row r="62" spans="1:5" x14ac:dyDescent="0.2">
      <c r="A62" t="s">
        <v>101</v>
      </c>
      <c r="B62" s="10"/>
      <c r="C62" s="10"/>
      <c r="D62" s="10"/>
    </row>
    <row r="63" spans="1:5" x14ac:dyDescent="0.2">
      <c r="A63" s="1" t="s">
        <v>106</v>
      </c>
      <c r="B63" s="10">
        <f>1837+33658</f>
        <v>35495</v>
      </c>
      <c r="C63" s="10">
        <f>1837+26791</f>
        <v>28628</v>
      </c>
      <c r="D63" s="10">
        <f>1837+21389</f>
        <v>23226</v>
      </c>
    </row>
    <row r="64" spans="1:5" x14ac:dyDescent="0.2">
      <c r="A64" s="1" t="s">
        <v>102</v>
      </c>
      <c r="B64" s="10">
        <v>31220</v>
      </c>
      <c r="C64" s="10">
        <v>19625</v>
      </c>
      <c r="D64" s="10">
        <v>8636</v>
      </c>
    </row>
    <row r="65" spans="1:4" x14ac:dyDescent="0.2">
      <c r="A65" s="1" t="s">
        <v>103</v>
      </c>
      <c r="B65" s="10">
        <v>986</v>
      </c>
      <c r="C65" s="10">
        <v>1035</v>
      </c>
      <c r="D65" s="10">
        <v>484</v>
      </c>
    </row>
    <row r="66" spans="1:4" x14ac:dyDescent="0.2">
      <c r="A66" s="11" t="s">
        <v>104</v>
      </c>
      <c r="B66" s="12">
        <v>62060</v>
      </c>
      <c r="C66" s="12">
        <v>43541</v>
      </c>
      <c r="D66" s="12">
        <v>27709</v>
      </c>
    </row>
    <row r="67" spans="1:4" ht="16" thickBot="1" x14ac:dyDescent="0.25">
      <c r="A67" s="13" t="s">
        <v>105</v>
      </c>
      <c r="B67" s="14">
        <v>225248</v>
      </c>
      <c r="C67" s="14">
        <v>162648</v>
      </c>
      <c r="D67" s="14">
        <v>131310</v>
      </c>
    </row>
    <row r="68" spans="1:4" ht="16" thickTop="1" x14ac:dyDescent="0.2"/>
    <row r="69" spans="1:4" x14ac:dyDescent="0.2">
      <c r="A69" s="41" t="s">
        <v>13</v>
      </c>
      <c r="B69" s="41"/>
      <c r="C69" s="41"/>
      <c r="D69" s="41"/>
    </row>
    <row r="70" spans="1:4" x14ac:dyDescent="0.2">
      <c r="B70" s="40" t="s">
        <v>56</v>
      </c>
      <c r="C70" s="40"/>
      <c r="D70" s="40"/>
    </row>
    <row r="71" spans="1:4" x14ac:dyDescent="0.2">
      <c r="B71" s="9">
        <v>2019</v>
      </c>
      <c r="C71" s="9">
        <v>2018</v>
      </c>
      <c r="D71" s="9">
        <v>2017</v>
      </c>
    </row>
    <row r="73" spans="1:4" x14ac:dyDescent="0.2">
      <c r="A73" s="9" t="s">
        <v>107</v>
      </c>
      <c r="B73" s="17"/>
      <c r="C73" s="17"/>
      <c r="D73" s="17"/>
    </row>
    <row r="74" spans="1:4" x14ac:dyDescent="0.2">
      <c r="A74" t="s">
        <v>108</v>
      </c>
      <c r="B74" s="10"/>
      <c r="C74" s="10"/>
      <c r="D74" s="10"/>
    </row>
    <row r="75" spans="1:4" x14ac:dyDescent="0.2">
      <c r="A75" s="18" t="s">
        <v>73</v>
      </c>
      <c r="B75" s="17"/>
      <c r="C75" s="17"/>
      <c r="D75" s="17"/>
    </row>
    <row r="76" spans="1:4" x14ac:dyDescent="0.2">
      <c r="A76" s="1" t="s">
        <v>109</v>
      </c>
      <c r="B76" s="10"/>
      <c r="C76" s="10"/>
      <c r="D76" s="10"/>
    </row>
    <row r="77" spans="1:4" x14ac:dyDescent="0.2">
      <c r="A77" s="19" t="s">
        <v>110</v>
      </c>
      <c r="B77">
        <v>21789</v>
      </c>
      <c r="C77" s="10">
        <v>15341</v>
      </c>
      <c r="D77" s="10">
        <v>11478</v>
      </c>
    </row>
    <row r="78" spans="1:4" x14ac:dyDescent="0.2">
      <c r="A78" s="19" t="s">
        <v>111</v>
      </c>
      <c r="B78" s="10">
        <v>6864</v>
      </c>
      <c r="C78" s="10">
        <v>5418</v>
      </c>
      <c r="D78" s="10">
        <v>4215</v>
      </c>
    </row>
    <row r="79" spans="1:4" x14ac:dyDescent="0.2">
      <c r="A79" s="19" t="s">
        <v>112</v>
      </c>
      <c r="B79" s="10">
        <v>796</v>
      </c>
      <c r="C79" s="10">
        <v>441</v>
      </c>
      <c r="D79" s="10">
        <v>29</v>
      </c>
    </row>
    <row r="80" spans="1:4" x14ac:dyDescent="0.2">
      <c r="A80" s="19" t="s">
        <v>113</v>
      </c>
      <c r="B80" s="10">
        <f>164+249</f>
        <v>413</v>
      </c>
      <c r="C80" s="10">
        <f>219+274</f>
        <v>493</v>
      </c>
      <c r="D80" s="10">
        <f>202+292</f>
        <v>494</v>
      </c>
    </row>
    <row r="81" spans="1:10" x14ac:dyDescent="0.2">
      <c r="A81" t="s">
        <v>114</v>
      </c>
      <c r="B81" s="10"/>
      <c r="C81" s="10"/>
      <c r="D81" s="10"/>
    </row>
    <row r="82" spans="1:10" x14ac:dyDescent="0.2">
      <c r="A82" s="1" t="s">
        <v>81</v>
      </c>
      <c r="B82" s="10">
        <v>7681</v>
      </c>
      <c r="C82" s="10">
        <v>4615</v>
      </c>
      <c r="D82" s="10">
        <v>4780</v>
      </c>
    </row>
    <row r="83" spans="1:10" x14ac:dyDescent="0.2">
      <c r="A83" s="1" t="s">
        <v>82</v>
      </c>
      <c r="B83" s="10">
        <v>3278</v>
      </c>
      <c r="C83" s="10">
        <v>1314</v>
      </c>
      <c r="D83" s="10">
        <v>3583</v>
      </c>
    </row>
    <row r="84" spans="1:10" x14ac:dyDescent="0.2">
      <c r="A84" s="1" t="s">
        <v>83</v>
      </c>
      <c r="B84" s="10"/>
      <c r="C84" s="10"/>
      <c r="D84" s="10"/>
    </row>
    <row r="85" spans="1:10" x14ac:dyDescent="0.2">
      <c r="A85" s="1" t="s">
        <v>115</v>
      </c>
      <c r="B85" s="10"/>
      <c r="C85" s="10"/>
      <c r="D85" s="10"/>
    </row>
    <row r="86" spans="1:10" x14ac:dyDescent="0.2">
      <c r="A86" s="1" t="s">
        <v>91</v>
      </c>
      <c r="B86" s="10">
        <v>8193</v>
      </c>
      <c r="C86" s="10">
        <v>3262</v>
      </c>
      <c r="D86" s="10">
        <v>7100</v>
      </c>
    </row>
    <row r="87" spans="1:10" x14ac:dyDescent="0.2">
      <c r="A87" s="1" t="s">
        <v>93</v>
      </c>
      <c r="B87" s="10">
        <v>1711</v>
      </c>
      <c r="C87" s="10">
        <v>1151</v>
      </c>
      <c r="D87" s="10">
        <v>738</v>
      </c>
    </row>
    <row r="88" spans="1:10" x14ac:dyDescent="0.2">
      <c r="A88" s="1" t="s">
        <v>116</v>
      </c>
      <c r="B88" s="10"/>
      <c r="C88" s="10"/>
      <c r="D88" s="10"/>
    </row>
    <row r="89" spans="1:10" x14ac:dyDescent="0.2">
      <c r="A89" s="11" t="s">
        <v>117</v>
      </c>
      <c r="B89" s="12">
        <v>38514</v>
      </c>
      <c r="C89" s="12">
        <v>30723</v>
      </c>
      <c r="D89" s="12">
        <v>18365</v>
      </c>
    </row>
    <row r="90" spans="1:10" x14ac:dyDescent="0.2">
      <c r="A90" s="9" t="s">
        <v>118</v>
      </c>
      <c r="B90" s="10"/>
      <c r="C90" s="10"/>
      <c r="D90" s="10"/>
      <c r="H90" s="31"/>
      <c r="I90" s="31"/>
      <c r="J90" s="31"/>
    </row>
    <row r="91" spans="1:10" x14ac:dyDescent="0.2">
      <c r="A91" s="1" t="s">
        <v>119</v>
      </c>
      <c r="B91" s="10">
        <v>31812</v>
      </c>
      <c r="C91" s="10">
        <v>7100</v>
      </c>
      <c r="D91" s="10">
        <v>12731</v>
      </c>
    </row>
    <row r="92" spans="1:10" x14ac:dyDescent="0.2">
      <c r="A92" s="1" t="s">
        <v>120</v>
      </c>
      <c r="B92" s="10" t="s">
        <v>142</v>
      </c>
      <c r="C92" s="10" t="s">
        <v>142</v>
      </c>
      <c r="D92" s="10" t="s">
        <v>142</v>
      </c>
    </row>
    <row r="93" spans="1:10" x14ac:dyDescent="0.2">
      <c r="A93" s="1" t="s">
        <v>141</v>
      </c>
      <c r="B93" s="10">
        <v>22681</v>
      </c>
      <c r="C93" s="10">
        <v>8240</v>
      </c>
      <c r="D93" s="10">
        <v>9677</v>
      </c>
    </row>
    <row r="94" spans="1:10" x14ac:dyDescent="0.2">
      <c r="A94" s="25" t="s">
        <v>121</v>
      </c>
      <c r="B94" s="10">
        <v>16861</v>
      </c>
      <c r="C94" s="10">
        <v>13427</v>
      </c>
      <c r="D94" s="10">
        <v>11955</v>
      </c>
    </row>
    <row r="95" spans="1:10" x14ac:dyDescent="0.2">
      <c r="A95" s="1" t="s">
        <v>122</v>
      </c>
      <c r="B95" s="26">
        <v>2461</v>
      </c>
      <c r="C95" s="26">
        <v>2186</v>
      </c>
      <c r="D95" s="26">
        <v>13972</v>
      </c>
    </row>
    <row r="96" spans="1:10" x14ac:dyDescent="0.2">
      <c r="A96" s="1" t="s">
        <v>113</v>
      </c>
      <c r="B96" s="26">
        <v>4172</v>
      </c>
      <c r="C96" s="10">
        <v>2104</v>
      </c>
      <c r="D96" s="10">
        <v>1897</v>
      </c>
    </row>
    <row r="97" spans="1:4" x14ac:dyDescent="0.2">
      <c r="A97" s="11" t="s">
        <v>123</v>
      </c>
      <c r="B97" s="30">
        <v>24281</v>
      </c>
      <c r="C97" s="30">
        <v>12369</v>
      </c>
      <c r="D97" s="30">
        <v>27084</v>
      </c>
    </row>
    <row r="98" spans="1:4" x14ac:dyDescent="0.2">
      <c r="A98" s="9" t="s">
        <v>124</v>
      </c>
      <c r="B98" s="26"/>
      <c r="C98" s="26"/>
      <c r="D98" s="26"/>
    </row>
    <row r="99" spans="1:4" x14ac:dyDescent="0.2">
      <c r="A99" s="1" t="s">
        <v>125</v>
      </c>
      <c r="B99" s="27"/>
      <c r="C99" s="27"/>
      <c r="D99" s="27"/>
    </row>
    <row r="100" spans="1:4" x14ac:dyDescent="0.2">
      <c r="A100" s="1" t="s">
        <v>126</v>
      </c>
      <c r="B100" s="10">
        <v>0</v>
      </c>
      <c r="C100" s="10">
        <v>0</v>
      </c>
      <c r="D100" s="10">
        <v>0</v>
      </c>
    </row>
    <row r="101" spans="1:4" x14ac:dyDescent="0.2">
      <c r="A101" s="1" t="s">
        <v>127</v>
      </c>
      <c r="B101" s="10"/>
      <c r="C101" s="10"/>
      <c r="D101" s="10"/>
    </row>
    <row r="102" spans="1:4" x14ac:dyDescent="0.2">
      <c r="A102" s="1" t="s">
        <v>128</v>
      </c>
      <c r="B102" s="10">
        <v>2273</v>
      </c>
      <c r="C102" s="10">
        <v>768</v>
      </c>
      <c r="D102" s="10">
        <v>16228</v>
      </c>
    </row>
    <row r="103" spans="1:4" x14ac:dyDescent="0.2">
      <c r="A103" s="1" t="s">
        <v>129</v>
      </c>
      <c r="B103" s="10">
        <v>2684</v>
      </c>
      <c r="C103" s="10">
        <v>668</v>
      </c>
      <c r="D103" s="10">
        <v>1301</v>
      </c>
    </row>
    <row r="104" spans="1:4" x14ac:dyDescent="0.2">
      <c r="A104" s="1" t="s">
        <v>130</v>
      </c>
      <c r="B104" s="10"/>
      <c r="C104" s="10"/>
      <c r="D104" s="10"/>
    </row>
    <row r="105" spans="1:4" x14ac:dyDescent="0.2">
      <c r="A105" s="1" t="s">
        <v>113</v>
      </c>
      <c r="B105" s="10"/>
      <c r="C105" s="10"/>
      <c r="D105" s="10"/>
    </row>
    <row r="106" spans="1:4" x14ac:dyDescent="0.2">
      <c r="A106" s="11" t="s">
        <v>131</v>
      </c>
      <c r="B106" s="29"/>
      <c r="C106" s="29"/>
      <c r="D106" s="29"/>
    </row>
    <row r="107" spans="1:4" ht="16" thickBot="1" x14ac:dyDescent="0.25">
      <c r="A107" s="13" t="s">
        <v>132</v>
      </c>
      <c r="B107" s="28"/>
      <c r="C107" s="28"/>
      <c r="D107" s="28"/>
    </row>
    <row r="108" spans="1:4" ht="16" thickTop="1" x14ac:dyDescent="0.2">
      <c r="B108" s="26"/>
      <c r="C108" s="26"/>
      <c r="D108" s="26"/>
    </row>
    <row r="109" spans="1:4" x14ac:dyDescent="0.2">
      <c r="A109" t="s">
        <v>133</v>
      </c>
      <c r="B109" s="27"/>
      <c r="C109" s="27">
        <v>854</v>
      </c>
      <c r="D109" s="27">
        <v>328</v>
      </c>
    </row>
    <row r="110" spans="1:4" x14ac:dyDescent="0.2">
      <c r="A110" t="s">
        <v>134</v>
      </c>
      <c r="B110" s="27">
        <v>881</v>
      </c>
      <c r="C110" s="27">
        <v>1184</v>
      </c>
      <c r="D110" s="27">
        <v>957</v>
      </c>
    </row>
    <row r="111" spans="1:4" x14ac:dyDescent="0.2">
      <c r="A111" t="s">
        <v>135</v>
      </c>
      <c r="B111" s="27">
        <v>875</v>
      </c>
      <c r="C111" s="27">
        <v>854</v>
      </c>
      <c r="D111" s="27">
        <v>328</v>
      </c>
    </row>
    <row r="112" spans="1:4" x14ac:dyDescent="0.2">
      <c r="B112" s="26"/>
      <c r="C112" s="26"/>
      <c r="D112" s="26"/>
    </row>
    <row r="113" spans="2:4" x14ac:dyDescent="0.2">
      <c r="B113" s="26"/>
      <c r="C113" s="26"/>
      <c r="D113" s="26"/>
    </row>
    <row r="114" spans="2:4" x14ac:dyDescent="0.2">
      <c r="B114" s="26"/>
      <c r="C114" s="26"/>
      <c r="D114" s="26"/>
    </row>
    <row r="115" spans="2:4" x14ac:dyDescent="0.2">
      <c r="B115" s="10"/>
      <c r="C115" s="10"/>
      <c r="D115" s="10"/>
    </row>
  </sheetData>
  <mergeCells count="6">
    <mergeCell ref="B70:D70"/>
    <mergeCell ref="A2:D2"/>
    <mergeCell ref="B3:D3"/>
    <mergeCell ref="A30:D30"/>
    <mergeCell ref="B31:D31"/>
    <mergeCell ref="A69:D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tabSelected="1" zoomScale="90" zoomScaleNormal="90" workbookViewId="0">
      <selection activeCell="I4" sqref="I4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9.1640625" bestFit="1" customWidth="1"/>
    <col min="6" max="6" width="45.1640625" customWidth="1"/>
    <col min="8" max="8" width="17.1640625" customWidth="1"/>
  </cols>
  <sheetData>
    <row r="1" spans="1:11" ht="60" customHeight="1" x14ac:dyDescent="0.3">
      <c r="A1" s="7"/>
      <c r="B1" s="20" t="s">
        <v>136</v>
      </c>
      <c r="C1" s="21"/>
      <c r="D1" s="21"/>
      <c r="E1" s="21"/>
      <c r="F1" s="21"/>
      <c r="G1" s="21"/>
      <c r="H1" s="21"/>
      <c r="I1" s="21"/>
      <c r="J1" s="21"/>
    </row>
    <row r="2" spans="1:11" x14ac:dyDescent="0.2">
      <c r="C2" s="40" t="s">
        <v>58</v>
      </c>
      <c r="D2" s="40"/>
      <c r="E2" s="40"/>
    </row>
    <row r="3" spans="1:11" x14ac:dyDescent="0.2">
      <c r="C3" s="9">
        <v>2019</v>
      </c>
      <c r="D3" s="9">
        <v>2018</v>
      </c>
      <c r="E3" s="9">
        <v>2017</v>
      </c>
      <c r="I3">
        <v>2019</v>
      </c>
      <c r="J3">
        <v>2018</v>
      </c>
      <c r="K3">
        <v>2017</v>
      </c>
    </row>
    <row r="4" spans="1:11" x14ac:dyDescent="0.2">
      <c r="A4" s="22">
        <v>1</v>
      </c>
      <c r="B4" s="9" t="s">
        <v>14</v>
      </c>
      <c r="H4" t="s">
        <v>148</v>
      </c>
      <c r="I4">
        <f>'Financial Statements'!B102-'Financial Statements'!B103</f>
        <v>-411</v>
      </c>
      <c r="J4">
        <f>'Financial Statements'!C102-'Financial Statements'!C103</f>
        <v>100</v>
      </c>
      <c r="K4">
        <f>'Financial Statements'!D102-'Financial Statements'!D103</f>
        <v>14927</v>
      </c>
    </row>
    <row r="5" spans="1:11" x14ac:dyDescent="0.2">
      <c r="A5" s="22">
        <f>+A4+0.1</f>
        <v>1.1000000000000001</v>
      </c>
      <c r="B5" s="1" t="s">
        <v>15</v>
      </c>
      <c r="C5" s="35">
        <f>'Financial Statements'!B39/'Financial Statements'!B54</f>
        <v>1.0970482394205803</v>
      </c>
      <c r="D5" s="35">
        <f>'Financial Statements'!C39/'Financial Statements'!C54</f>
        <v>1.0981123247210891</v>
      </c>
      <c r="E5" s="35">
        <f>'Financial Statements'!D39/'Financial Statements'!D54</f>
        <v>1.039977195376881</v>
      </c>
      <c r="H5" t="s">
        <v>145</v>
      </c>
      <c r="I5">
        <f>'Financial Statements'!$H$4*'Financial Statements'!B27</f>
        <v>75784.539999999994</v>
      </c>
      <c r="J5">
        <f>'Financial Statements'!$H$4*'Financial Statements'!C27</f>
        <v>74710.67</v>
      </c>
      <c r="K5">
        <f>'Financial Statements'!$H$4*'Financial Statements'!D27</f>
        <v>73636.800000000003</v>
      </c>
    </row>
    <row r="6" spans="1:11" x14ac:dyDescent="0.2">
      <c r="A6" s="22">
        <f t="shared" ref="A6:A13" si="0">+A5+0.1</f>
        <v>1.2000000000000002</v>
      </c>
      <c r="B6" s="1" t="s">
        <v>16</v>
      </c>
      <c r="C6" s="35">
        <f>('Financial Statements'!B35+'Financial Statements'!B36+'Financial Statements'!B37)/'Financial Statements'!B54</f>
        <v>0.85999635585113654</v>
      </c>
      <c r="D6" s="35">
        <f>('Financial Statements'!C35+'Financial Statements'!C36+'Financial Statements'!C37)/'Financial Statements'!C54</f>
        <v>0.85426445000073103</v>
      </c>
      <c r="E6" s="35">
        <f>('Financial Statements'!D35+'Financial Statements'!D36+'Financial Statements'!D37)/'Financial Statements'!D54</f>
        <v>0.76274553841369663</v>
      </c>
    </row>
    <row r="7" spans="1:11" x14ac:dyDescent="0.2">
      <c r="A7" s="22">
        <f t="shared" si="0"/>
        <v>1.3000000000000003</v>
      </c>
      <c r="B7" s="1" t="s">
        <v>17</v>
      </c>
      <c r="C7" s="35">
        <f>('Financial Statements'!B35+'Financial Statements'!B36)/'Financial Statements'!B54</f>
        <v>0.62657723317997538</v>
      </c>
      <c r="D7" s="35">
        <f>('Financial Statements'!C35+'Financial Statements'!C36)/'Financial Statements'!C54</f>
        <v>0.60314953721980957</v>
      </c>
      <c r="E7" s="35">
        <f>('Financial Statements'!D35+'Financial Statements'!D36)/'Financial Statements'!D54</f>
        <v>0.53532125149007481</v>
      </c>
    </row>
    <row r="8" spans="1:11" x14ac:dyDescent="0.2">
      <c r="A8" s="22">
        <f t="shared" si="0"/>
        <v>1.4000000000000004</v>
      </c>
      <c r="B8" s="1" t="s">
        <v>18</v>
      </c>
      <c r="C8" s="36">
        <f>(('Financial Statements'!B35+'Financial Statements'!B36+'Financial Statements'!B37)/('Financial Statements'!B16-'Financial Statements'!B18)/365)</f>
        <v>7.7846409460898306E-4</v>
      </c>
      <c r="D8" s="36">
        <f>(('Financial Statements'!C35+'Financial Statements'!C36+'Financial Statements'!C37)/('Financial Statements'!C16-'Financial Statements'!C18)/365)</f>
        <v>7.2663688720717222E-4</v>
      </c>
      <c r="E8" s="36">
        <f>(('Financial Statements'!D35+'Financial Statements'!D36+'Financial Statements'!D37)/('Financial Statements'!D16-'Financial Statements'!D18)/365)</f>
        <v>6.9751521854976553E-4</v>
      </c>
    </row>
    <row r="9" spans="1:11" x14ac:dyDescent="0.2">
      <c r="A9" s="22">
        <f t="shared" si="0"/>
        <v>1.5000000000000004</v>
      </c>
      <c r="B9" s="1" t="s">
        <v>19</v>
      </c>
      <c r="C9" s="35">
        <f>(365*('Financial Statements'!B38/'Financial Statements'!B10))</f>
        <v>45.898414846317422</v>
      </c>
      <c r="D9" s="35">
        <f>(365*('Financial Statements'!C38/'Financial Statements'!C10))</f>
        <v>43.743029405846677</v>
      </c>
      <c r="E9" s="35">
        <f>(365*('Financial Statements'!D38/'Financial Statements'!D10))</f>
        <v>52.326862258116392</v>
      </c>
    </row>
    <row r="10" spans="1:11" x14ac:dyDescent="0.2">
      <c r="A10" s="22">
        <f t="shared" si="0"/>
        <v>1.6000000000000005</v>
      </c>
      <c r="B10" s="1" t="s">
        <v>20</v>
      </c>
      <c r="C10" s="35">
        <f>(365/('Financial Statements'!B10/'Financial Statements'!B49))</f>
        <v>104.03655398221535</v>
      </c>
      <c r="D10" s="35">
        <f>(365/('Financial Statements'!C10/'Financial Statements'!C49))</f>
        <v>100.1759176751272</v>
      </c>
      <c r="E10" s="35">
        <f>(365/('Financial Statements'!D10/'Financial Statements'!D49))</f>
        <v>112.87758857898405</v>
      </c>
    </row>
    <row r="11" spans="1:11" x14ac:dyDescent="0.2">
      <c r="A11" s="22">
        <f t="shared" si="0"/>
        <v>1.7000000000000006</v>
      </c>
      <c r="B11" s="1" t="s">
        <v>21</v>
      </c>
      <c r="C11" s="35">
        <f>(365/('Financial Statements'!B8/'Financial Statements'!B37))</f>
        <v>26.669583847256188</v>
      </c>
      <c r="D11" s="35">
        <f>(365/('Financial Statements'!C8/'Financial Statements'!C37))</f>
        <v>26.916530334454048</v>
      </c>
      <c r="E11" s="35">
        <f>(365/('Financial Statements'!D8/'Financial Statements'!D37))</f>
        <v>27.013931836326226</v>
      </c>
    </row>
    <row r="12" spans="1:11" x14ac:dyDescent="0.2">
      <c r="A12" s="22">
        <f t="shared" si="0"/>
        <v>1.8000000000000007</v>
      </c>
      <c r="B12" s="1" t="s">
        <v>22</v>
      </c>
      <c r="C12" s="35">
        <f>C9+C11-C10</f>
        <v>-31.468555288641738</v>
      </c>
      <c r="D12" s="35">
        <f t="shared" ref="D12:E12" si="1">D9+D11-D10</f>
        <v>-29.516357934826473</v>
      </c>
      <c r="E12" s="35">
        <f t="shared" si="1"/>
        <v>-33.536794484541431</v>
      </c>
    </row>
    <row r="13" spans="1:11" x14ac:dyDescent="0.2">
      <c r="A13" s="22">
        <f t="shared" si="0"/>
        <v>1.9000000000000008</v>
      </c>
      <c r="B13" s="1" t="s">
        <v>23</v>
      </c>
      <c r="C13" s="38">
        <f>C14/'Financial Statements'!B8</f>
        <v>3.0379079002716365E-2</v>
      </c>
      <c r="D13" s="38">
        <f>D14/'Financial Statements'!C8</f>
        <v>2.8812256587958968E-2</v>
      </c>
      <c r="E13" s="38">
        <f>E14/'Financial Statements'!D8</f>
        <v>1.3009793889782196E-2</v>
      </c>
    </row>
    <row r="14" spans="1:11" x14ac:dyDescent="0.2">
      <c r="A14" s="22"/>
      <c r="B14" s="19" t="s">
        <v>24</v>
      </c>
      <c r="C14" s="37">
        <f>'Financial Statements'!B39-'Financial Statements'!B54</f>
        <v>8522</v>
      </c>
      <c r="D14" s="37">
        <f>'Financial Statements'!C39-'Financial Statements'!C54</f>
        <v>6710</v>
      </c>
      <c r="E14" s="37">
        <f>'Financial Statements'!D39-'Financial Statements'!D54</f>
        <v>2314</v>
      </c>
    </row>
    <row r="15" spans="1:11" x14ac:dyDescent="0.2">
      <c r="A15" s="22"/>
    </row>
    <row r="16" spans="1:11" x14ac:dyDescent="0.2">
      <c r="A16" s="22">
        <f>+A4+1</f>
        <v>2</v>
      </c>
      <c r="B16" s="23" t="s">
        <v>25</v>
      </c>
    </row>
    <row r="17" spans="1:6" x14ac:dyDescent="0.2">
      <c r="A17" s="22">
        <f>+A16+0.1</f>
        <v>2.1</v>
      </c>
      <c r="B17" s="1" t="s">
        <v>11</v>
      </c>
      <c r="C17" s="38">
        <f>('Financial Statements'!B8-'Financial Statements'!B10)/'Financial Statements'!B8</f>
        <v>0.40990011478600608</v>
      </c>
      <c r="D17" s="38">
        <f>('Financial Statements'!C8-'Financial Statements'!C10)/'Financial Statements'!C8</f>
        <v>0.40247416128852193</v>
      </c>
      <c r="E17" s="38">
        <f>('Financial Statements'!D8-'Financial Statements'!D10)/'Financial Statements'!D8</f>
        <v>0.3706835482891615</v>
      </c>
    </row>
    <row r="18" spans="1:6" x14ac:dyDescent="0.2">
      <c r="A18" s="22">
        <f>+A17+0.1</f>
        <v>2.2000000000000002</v>
      </c>
      <c r="B18" s="1" t="s">
        <v>26</v>
      </c>
      <c r="C18" s="38">
        <f>C19/'Financial Statements'!B8</f>
        <v>0.12950855904349748</v>
      </c>
      <c r="D18" s="38">
        <f>D19/'Financial Statements'!C8</f>
        <v>0.11920802792770743</v>
      </c>
      <c r="E18" s="38">
        <f>E19/'Financial Statements'!D8</f>
        <v>8.7616520301800227E-2</v>
      </c>
    </row>
    <row r="19" spans="1:6" x14ac:dyDescent="0.2">
      <c r="A19" s="22"/>
      <c r="B19" s="19" t="s">
        <v>27</v>
      </c>
      <c r="C19">
        <f>C21+'Financial Statements'!B77</f>
        <v>36330</v>
      </c>
      <c r="D19">
        <f>D21+'Financial Statements'!C77</f>
        <v>27762</v>
      </c>
      <c r="E19">
        <f>E21+'Financial Statements'!D77</f>
        <v>15584</v>
      </c>
    </row>
    <row r="20" spans="1:6" x14ac:dyDescent="0.2">
      <c r="A20" s="22">
        <f>+A18+0.1</f>
        <v>2.3000000000000003</v>
      </c>
      <c r="B20" s="1" t="s">
        <v>28</v>
      </c>
      <c r="C20" s="38">
        <f>C21/'Financial Statements'!B8</f>
        <v>5.1835506662579051E-2</v>
      </c>
      <c r="D20" s="38">
        <f>D21/'Financial Statements'!C8</f>
        <v>5.3334879147397665E-2</v>
      </c>
      <c r="E20" s="38">
        <f>E21/'Financial Statements'!D8</f>
        <v>2.3084794170892695E-2</v>
      </c>
    </row>
    <row r="21" spans="1:6" x14ac:dyDescent="0.2">
      <c r="A21" s="22"/>
      <c r="B21" s="19" t="s">
        <v>29</v>
      </c>
      <c r="C21">
        <f>'Financial Statements'!B17</f>
        <v>14541</v>
      </c>
      <c r="D21">
        <f>'Financial Statements'!C17</f>
        <v>12421</v>
      </c>
      <c r="E21">
        <f>'Financial Statements'!D17</f>
        <v>4106</v>
      </c>
      <c r="F21" t="s">
        <v>146</v>
      </c>
    </row>
    <row r="22" spans="1:6" x14ac:dyDescent="0.2">
      <c r="A22" s="22">
        <f>+A20+0.1</f>
        <v>2.4000000000000004</v>
      </c>
      <c r="B22" s="1" t="s">
        <v>30</v>
      </c>
      <c r="C22" s="38">
        <f>'Financial Statements'!B22/'Financial Statements'!B8</f>
        <v>4.1308703060722513E-2</v>
      </c>
      <c r="D22" s="38">
        <f>'Financial Statements'!C22/'Financial Statements'!C8</f>
        <v>4.3252736305590261E-2</v>
      </c>
      <c r="E22" s="38">
        <f>'Financial Statements'!D22/'Financial Statements'!D8</f>
        <v>1.7052162864178651E-2</v>
      </c>
    </row>
    <row r="23" spans="1:6" x14ac:dyDescent="0.2">
      <c r="A23" s="22"/>
    </row>
    <row r="24" spans="1:6" x14ac:dyDescent="0.2">
      <c r="A24" s="22">
        <f>+A16+1</f>
        <v>3</v>
      </c>
      <c r="B24" s="9" t="s">
        <v>31</v>
      </c>
    </row>
    <row r="25" spans="1:6" x14ac:dyDescent="0.2">
      <c r="A25" s="22">
        <f>+A24+0.1</f>
        <v>3.1</v>
      </c>
      <c r="B25" s="1" t="s">
        <v>32</v>
      </c>
      <c r="C25" s="35">
        <f>'Financial Statements'!B57/'Financial Statements'!B66</f>
        <v>0.37728005156300354</v>
      </c>
      <c r="D25" s="35">
        <f>'Financial Statements'!C57/'Financial Statements'!C66</f>
        <v>0.53960634803977858</v>
      </c>
      <c r="E25" s="35">
        <f>'Financial Statements'!D57/'Financial Statements'!D66</f>
        <v>0.89295896640080841</v>
      </c>
    </row>
    <row r="26" spans="1:6" x14ac:dyDescent="0.2">
      <c r="A26" s="22">
        <f t="shared" ref="A26:A30" si="2">+A25+0.1</f>
        <v>3.2</v>
      </c>
      <c r="B26" s="1" t="s">
        <v>33</v>
      </c>
      <c r="C26" s="35">
        <f>'Financial Statements'!B57/'Financial Statements'!B46</f>
        <v>0.10394764881375196</v>
      </c>
      <c r="D26" s="35">
        <f>'Financial Statements'!C57/'Financial Statements'!C46</f>
        <v>0.14445305198957256</v>
      </c>
      <c r="E26" s="35">
        <f>'Financial Statements'!D57/'Financial Statements'!D46</f>
        <v>0.18843195491584799</v>
      </c>
    </row>
    <row r="27" spans="1:6" x14ac:dyDescent="0.2">
      <c r="A27" s="22">
        <f t="shared" si="2"/>
        <v>3.3000000000000003</v>
      </c>
      <c r="B27" s="1" t="s">
        <v>34</v>
      </c>
      <c r="C27" s="35">
        <f>'Financial Statements'!B57/('Financial Statements'!B57+'Financial Statements'!B66)</f>
        <v>0.27393125394856915</v>
      </c>
      <c r="D27" s="35">
        <f>'Financial Statements'!C57/('Financial Statements'!C57+'Financial Statements'!C66)</f>
        <v>0.35048332239393759</v>
      </c>
      <c r="E27" s="35">
        <f>'Financial Statements'!D57/('Financial Statements'!D57+'Financial Statements'!D66)</f>
        <v>0.47172653092351102</v>
      </c>
    </row>
    <row r="28" spans="1:6" x14ac:dyDescent="0.2">
      <c r="A28" s="22">
        <f t="shared" si="2"/>
        <v>3.4000000000000004</v>
      </c>
      <c r="B28" s="1" t="s">
        <v>35</v>
      </c>
      <c r="C28" s="35">
        <f>C21/'Financial Statements'!B111</f>
        <v>16.618285714285715</v>
      </c>
      <c r="D28" s="35">
        <f>D21/'Financial Statements'!C111</f>
        <v>14.544496487119439</v>
      </c>
      <c r="E28" s="35">
        <f>E21/'Financial Statements'!D111</f>
        <v>12.518292682926829</v>
      </c>
    </row>
    <row r="29" spans="1:6" x14ac:dyDescent="0.2">
      <c r="A29" s="22">
        <f t="shared" si="2"/>
        <v>3.5000000000000004</v>
      </c>
      <c r="B29" s="1" t="s">
        <v>36</v>
      </c>
      <c r="C29" s="35">
        <f>C21/('Financial Statements'!B111+'Financial Statements'!B103)</f>
        <v>4.085698229839843</v>
      </c>
      <c r="D29" s="35">
        <f>D21/('Financial Statements'!C111+'Financial Statements'!C103)</f>
        <v>8.160972404730618</v>
      </c>
      <c r="E29" s="35">
        <f>E21/('Financial Statements'!D111+'Financial Statements'!D103)</f>
        <v>2.5205647636586863</v>
      </c>
    </row>
    <row r="30" spans="1:6" x14ac:dyDescent="0.2">
      <c r="A30" s="22">
        <f t="shared" si="2"/>
        <v>3.6000000000000005</v>
      </c>
      <c r="B30" s="1" t="s">
        <v>37</v>
      </c>
      <c r="C30" s="35">
        <f>C31/'Financial Statements'!B28</f>
        <v>-87.694444444444443</v>
      </c>
      <c r="D30" s="35">
        <f>D31/'Financial Statements'!C28</f>
        <v>-67.953999999999994</v>
      </c>
      <c r="E30" s="35">
        <f>E31/'Financial Statements'!D28</f>
        <v>-25.070993914807303</v>
      </c>
    </row>
    <row r="31" spans="1:6" x14ac:dyDescent="0.2">
      <c r="A31" s="22"/>
      <c r="B31" s="19" t="s">
        <v>38</v>
      </c>
      <c r="C31" s="35">
        <f>'Financial Statements'!B22-'Financial Statements'!B94-'Financial Statements'!B89+I4</f>
        <v>-44198</v>
      </c>
      <c r="D31" s="35">
        <f>'Financial Statements'!C22-'Financial Statements'!C94-'Financial Statements'!C89+J4</f>
        <v>-33977</v>
      </c>
      <c r="E31" s="35">
        <f>'Financial Statements'!D22-'Financial Statements'!D94-'Financial Statements'!D89+K4</f>
        <v>-12360</v>
      </c>
      <c r="F31" t="s">
        <v>147</v>
      </c>
    </row>
    <row r="32" spans="1:6" x14ac:dyDescent="0.2">
      <c r="A32" s="22"/>
    </row>
    <row r="33" spans="1:5" x14ac:dyDescent="0.2">
      <c r="A33" s="22">
        <f>+A24+1</f>
        <v>4</v>
      </c>
      <c r="B33" s="23" t="s">
        <v>39</v>
      </c>
    </row>
    <row r="34" spans="1:5" x14ac:dyDescent="0.2">
      <c r="A34" s="22">
        <f>+A33+0.1</f>
        <v>4.0999999999999996</v>
      </c>
      <c r="B34" s="1" t="s">
        <v>40</v>
      </c>
      <c r="C34" s="39">
        <f>'Financial Statements'!B8/AVERAGE('Financial Statements'!B46,C46)</f>
        <v>1.2453917459866459</v>
      </c>
      <c r="D34" s="39">
        <f>'Financial Statements'!C8/AVERAGE('Financial Statements'!C46,D46)</f>
        <v>1.431846687324775</v>
      </c>
      <c r="E34" s="39">
        <f>'Financial Statements'!D8/AVERAGE('Financial Statements'!D46,E46)</f>
        <v>1.3545503008148656</v>
      </c>
    </row>
    <row r="35" spans="1:5" x14ac:dyDescent="0.2">
      <c r="A35" s="22">
        <f t="shared" ref="A35:A37" si="3">+A34+0.1</f>
        <v>4.1999999999999993</v>
      </c>
      <c r="B35" s="1" t="s">
        <v>41</v>
      </c>
      <c r="C35" s="39">
        <f>'Financial Statements'!B8/AVERAGE('Financial Statements'!B43,'Financial Statements'!C43)</f>
        <v>4.1712688287163013</v>
      </c>
      <c r="D35" s="39">
        <f>'Financial Statements'!C8/AVERAGE('Financial Statements'!C43,'Financial Statements'!D43)</f>
        <v>4.2089406576723931</v>
      </c>
      <c r="E35" s="39">
        <f>'Financial Statements'!D8/AVERAGE('Financial Statements'!D43,'Financial Statements'!E43)</f>
        <v>3.6398723038513485</v>
      </c>
    </row>
    <row r="36" spans="1:5" x14ac:dyDescent="0.2">
      <c r="A36" s="22">
        <f t="shared" si="3"/>
        <v>4.2999999999999989</v>
      </c>
      <c r="B36" s="1" t="s">
        <v>42</v>
      </c>
      <c r="C36" s="39">
        <f>'Financial Statements'!B10/AVERAGE('Financial Statements'!B38,'Financial Statements'!C38)</f>
        <v>8.8302349771957438</v>
      </c>
      <c r="D36" s="39">
        <f>'Financial Statements'!C10/AVERAGE('Financial Statements'!C38,'Financial Statements'!D38)</f>
        <v>8.5048282606038388</v>
      </c>
      <c r="E36" s="39">
        <f>'Financial Statements'!D10/AVERAGE('Financial Statements'!D38,'Financial Statements'!E38)</f>
        <v>6.9753848071290587</v>
      </c>
    </row>
    <row r="37" spans="1:5" x14ac:dyDescent="0.2">
      <c r="A37" s="22">
        <f t="shared" si="3"/>
        <v>4.3999999999999986</v>
      </c>
      <c r="B37" s="1" t="s">
        <v>43</v>
      </c>
      <c r="C37" s="39">
        <f>'Financial Statements'!B22/AVERAGE('Financial Statements'!B46,'Financial Statements'!C46)</f>
        <v>5.9747973683667785E-2</v>
      </c>
      <c r="D37" s="39">
        <f>'Financial Statements'!C22/AVERAGE('Financial Statements'!C46,'Financial Statements'!D46)</f>
        <v>6.8533600038100675E-2</v>
      </c>
      <c r="E37" s="39">
        <f>'Financial Statements'!D22/AVERAGE('Financial Statements'!D46,'Financial Statements'!E46)</f>
        <v>2.3098012337217273E-2</v>
      </c>
    </row>
    <row r="38" spans="1:5" x14ac:dyDescent="0.2">
      <c r="A38" s="22"/>
    </row>
    <row r="39" spans="1:5" x14ac:dyDescent="0.2">
      <c r="A39" s="22">
        <f>+A33+1</f>
        <v>5</v>
      </c>
      <c r="B39" s="23" t="s">
        <v>44</v>
      </c>
    </row>
    <row r="40" spans="1:5" x14ac:dyDescent="0.2">
      <c r="A40" s="22">
        <f>+A39+0.1</f>
        <v>5.0999999999999996</v>
      </c>
      <c r="B40" s="1" t="s">
        <v>45</v>
      </c>
      <c r="C40" s="35">
        <f>'Financial Statements'!$H$4/'List of Ratios'!C41</f>
        <v>6.5399154297549185</v>
      </c>
      <c r="D40" s="35">
        <f>'Financial Statements'!$H$4/'List of Ratios'!D41</f>
        <v>7.4169234587511159</v>
      </c>
      <c r="E40" s="35">
        <f>'Financial Statements'!$H$4/'List of Ratios'!E41</f>
        <v>24.278536102868447</v>
      </c>
    </row>
    <row r="41" spans="1:5" x14ac:dyDescent="0.2">
      <c r="A41" s="22">
        <f t="shared" ref="A41:A44" si="4">+A40+0.1</f>
        <v>5.1999999999999993</v>
      </c>
      <c r="B41" s="19" t="s">
        <v>46</v>
      </c>
      <c r="C41" s="35">
        <f>'Financial Statements'!B22/'Financial Statements'!B27</f>
        <v>23.457489878542511</v>
      </c>
      <c r="D41" s="35">
        <f>'Financial Statements'!C22/'Financial Statements'!C27</f>
        <v>20.683778234086244</v>
      </c>
      <c r="E41" s="35">
        <f>'Financial Statements'!D22/'Financial Statements'!D27</f>
        <v>6.3187499999999996</v>
      </c>
    </row>
    <row r="42" spans="1:5" x14ac:dyDescent="0.2">
      <c r="A42" s="22">
        <f t="shared" si="4"/>
        <v>5.2999999999999989</v>
      </c>
      <c r="B42" s="1" t="s">
        <v>47</v>
      </c>
      <c r="C42" s="35">
        <f>'Financial Statements'!$H$4/'List of Ratios'!C43</f>
        <v>1.2211495327102804</v>
      </c>
      <c r="D42" s="35">
        <f>'Financial Statements'!$H$4/'List of Ratios'!D43</f>
        <v>1.7158694104407339</v>
      </c>
      <c r="E42" s="35">
        <f>'Financial Statements'!$H$4/'List of Ratios'!E43</f>
        <v>2.6575047818398354</v>
      </c>
    </row>
    <row r="43" spans="1:5" x14ac:dyDescent="0.2">
      <c r="A43" s="22">
        <f t="shared" si="4"/>
        <v>5.3999999999999986</v>
      </c>
      <c r="B43" s="19" t="s">
        <v>48</v>
      </c>
      <c r="C43" s="35">
        <f>'Financial Statements'!B66/'Financial Statements'!B27</f>
        <v>125.62753036437248</v>
      </c>
      <c r="D43" s="35">
        <f>'Financial Statements'!C66/'Financial Statements'!C27</f>
        <v>89.406570841889121</v>
      </c>
      <c r="E43" s="35">
        <f>'Financial Statements'!D66/'Financial Statements'!D27</f>
        <v>57.727083333333333</v>
      </c>
    </row>
    <row r="44" spans="1:5" x14ac:dyDescent="0.2">
      <c r="A44" s="22">
        <f t="shared" si="4"/>
        <v>5.4999999999999982</v>
      </c>
      <c r="B44" s="1" t="s">
        <v>49</v>
      </c>
      <c r="C44" t="s">
        <v>144</v>
      </c>
      <c r="D44" t="s">
        <v>144</v>
      </c>
      <c r="E44" t="s">
        <v>144</v>
      </c>
    </row>
    <row r="45" spans="1:5" x14ac:dyDescent="0.2">
      <c r="A45" s="22"/>
      <c r="B45" s="19" t="s">
        <v>50</v>
      </c>
      <c r="C45" t="s">
        <v>144</v>
      </c>
      <c r="D45" t="s">
        <v>144</v>
      </c>
      <c r="E45" t="s">
        <v>144</v>
      </c>
    </row>
    <row r="46" spans="1:5" x14ac:dyDescent="0.2">
      <c r="A46" s="22">
        <f>+A44+0.1</f>
        <v>5.5999999999999979</v>
      </c>
      <c r="B46" s="1" t="s">
        <v>51</v>
      </c>
      <c r="C46" t="s">
        <v>144</v>
      </c>
      <c r="D46" t="s">
        <v>144</v>
      </c>
      <c r="E46" t="s">
        <v>144</v>
      </c>
    </row>
    <row r="47" spans="1:5" x14ac:dyDescent="0.2">
      <c r="A47" s="22">
        <f t="shared" ref="A47:A50" si="5">+A45+0.1</f>
        <v>0.1</v>
      </c>
      <c r="B47" s="1" t="s">
        <v>52</v>
      </c>
      <c r="C47" s="38">
        <f>'Financial Statements'!B22/AVERAGE('Financial Statements'!B66,'Financial Statements'!C66)</f>
        <v>0.21946761867785344</v>
      </c>
      <c r="D47" s="38">
        <f>'Financial Statements'!C22/AVERAGE('Financial Statements'!C66,'Financial Statements'!D66)</f>
        <v>0.28275087719298247</v>
      </c>
      <c r="E47" s="38">
        <f>'Financial Statements'!D22/AVERAGE('Financial Statements'!D66,'Financial Statements'!E66)</f>
        <v>0.10945902053484427</v>
      </c>
    </row>
    <row r="48" spans="1:5" x14ac:dyDescent="0.2">
      <c r="A48" s="22">
        <f t="shared" si="5"/>
        <v>5.6999999999999975</v>
      </c>
      <c r="B48" s="1" t="s">
        <v>53</v>
      </c>
      <c r="C48" s="38">
        <f>'Financial Statements'!B17/('Financial Statements'!B57+'Financial Statements'!B66)</f>
        <v>0.17012190841659453</v>
      </c>
      <c r="D48" s="38">
        <f>'Financial Statements'!C17/('Financial Statements'!C57+'Financial Statements'!C66)</f>
        <v>0.18528850170057878</v>
      </c>
      <c r="E48" s="38">
        <f>'Financial Statements'!D17/('Financial Statements'!D57+'Financial Statements'!D66)</f>
        <v>7.8281095096469147E-2</v>
      </c>
    </row>
    <row r="49" spans="1:5" x14ac:dyDescent="0.2">
      <c r="A49" s="22">
        <f t="shared" si="5"/>
        <v>0.2</v>
      </c>
      <c r="B49" s="1" t="s">
        <v>43</v>
      </c>
      <c r="C49" s="38">
        <f>C37</f>
        <v>5.9747973683667785E-2</v>
      </c>
      <c r="D49" s="38">
        <f t="shared" ref="D49:E49" si="6">D37</f>
        <v>6.8533600038100675E-2</v>
      </c>
      <c r="E49" s="38">
        <f t="shared" si="6"/>
        <v>2.3098012337217273E-2</v>
      </c>
    </row>
    <row r="50" spans="1:5" x14ac:dyDescent="0.2">
      <c r="A50" s="22">
        <f t="shared" si="5"/>
        <v>5.7999999999999972</v>
      </c>
      <c r="B50" s="1" t="s">
        <v>54</v>
      </c>
      <c r="C50" s="35">
        <f>C51/C19</f>
        <v>1.7370366088631983</v>
      </c>
      <c r="D50" s="35">
        <f t="shared" ref="D50:E50" si="7">D51/D19</f>
        <v>2.393763777825805</v>
      </c>
      <c r="E50" s="35">
        <f t="shared" si="7"/>
        <v>4.996008726899384</v>
      </c>
    </row>
    <row r="51" spans="1:5" x14ac:dyDescent="0.2">
      <c r="A51" s="22"/>
      <c r="B51" s="19" t="s">
        <v>55</v>
      </c>
      <c r="C51">
        <f>I5+'Financial Statements'!B57-'Financial Statements'!B35</f>
        <v>63106.539999999994</v>
      </c>
      <c r="D51">
        <f>J5+'Financial Statements'!C57-'Financial Statements'!C35</f>
        <v>66455.67</v>
      </c>
      <c r="E51">
        <f>K5+'Financial Statements'!D57-'Financial Statements'!D35</f>
        <v>77857.8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/>
  <ignoredErrors>
    <ignoredError sqref="C19: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C090F-1669-E246-905F-7F186D3AA15C}">
  <dimension ref="A1"/>
  <sheetViews>
    <sheetView workbookViewId="0">
      <selection activeCell="J36" sqref="J36"/>
    </sheetView>
  </sheetViews>
  <sheetFormatPr baseColWidth="10" defaultColWidth="11.5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Financial Statements</vt:lpstr>
      <vt:lpstr>List of Ratios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Seewoodhary, Jay</cp:lastModifiedBy>
  <dcterms:created xsi:type="dcterms:W3CDTF">2020-05-19T16:15:53Z</dcterms:created>
  <dcterms:modified xsi:type="dcterms:W3CDTF">2024-01-10T20:23:18Z</dcterms:modified>
</cp:coreProperties>
</file>