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6228826C-F460-984E-A046-7C1B01FFE1DF}" xr6:coauthVersionLast="47" xr6:coauthVersionMax="47" xr10:uidLastSave="{00000000-0000-0000-0000-000000000000}"/>
  <bookViews>
    <workbookView xWindow="0" yWindow="500" windowWidth="23260" windowHeight="1390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I85" i="1"/>
  <c r="J85" i="1"/>
  <c r="I84" i="1"/>
  <c r="J84" i="1"/>
  <c r="H84" i="1"/>
  <c r="I70" i="1"/>
  <c r="H70" i="1"/>
  <c r="I69" i="1"/>
  <c r="H69" i="1"/>
  <c r="H68" i="1"/>
  <c r="I68" i="1"/>
  <c r="I64" i="1"/>
  <c r="H64" i="1"/>
  <c r="I63" i="1"/>
  <c r="H63" i="1"/>
  <c r="I61" i="1"/>
  <c r="H61" i="1"/>
  <c r="M58" i="1"/>
  <c r="L58" i="1"/>
  <c r="K58" i="1"/>
  <c r="J58" i="1"/>
  <c r="I58" i="1"/>
  <c r="H58" i="1"/>
  <c r="I52" i="1"/>
  <c r="J52" i="1"/>
  <c r="H52" i="1"/>
  <c r="I49" i="1"/>
  <c r="J49" i="1"/>
  <c r="H49" i="1"/>
  <c r="J47" i="1"/>
  <c r="I47" i="1"/>
  <c r="H47" i="1"/>
  <c r="J46" i="1"/>
  <c r="I46" i="1"/>
  <c r="H46" i="1"/>
  <c r="J45" i="1"/>
  <c r="I45" i="1"/>
  <c r="H45" i="1"/>
  <c r="J43" i="1"/>
  <c r="I43" i="1"/>
  <c r="H43" i="1"/>
  <c r="I42" i="1"/>
  <c r="J42" i="1"/>
  <c r="H42" i="1"/>
  <c r="J41" i="1"/>
  <c r="I41" i="1"/>
  <c r="H41" i="1"/>
  <c r="I28" i="1" l="1"/>
  <c r="J28" i="1"/>
  <c r="H28" i="1"/>
  <c r="I27" i="1"/>
  <c r="J27" i="1"/>
  <c r="H27" i="1"/>
  <c r="I26" i="1"/>
  <c r="J26" i="1"/>
  <c r="H26" i="1"/>
  <c r="I23" i="1"/>
  <c r="J23" i="1"/>
  <c r="H23" i="1"/>
  <c r="I20" i="1" l="1"/>
  <c r="J20" i="1"/>
  <c r="H20" i="1"/>
  <c r="H51" i="1" s="1"/>
  <c r="I18" i="1"/>
  <c r="J18" i="1"/>
  <c r="H18" i="1"/>
  <c r="I14" i="1"/>
  <c r="J14" i="1"/>
  <c r="H14" i="1"/>
  <c r="H15" i="1"/>
  <c r="I15" i="1"/>
  <c r="J15" i="1"/>
  <c r="I13" i="1"/>
  <c r="J13" i="1"/>
  <c r="H13" i="1"/>
  <c r="I9" i="1"/>
  <c r="J9" i="1"/>
  <c r="H9" i="1"/>
  <c r="I83" i="1"/>
  <c r="J83" i="1"/>
  <c r="H83" i="1"/>
  <c r="I80" i="1"/>
  <c r="J80" i="1"/>
  <c r="H80" i="1"/>
  <c r="I79" i="1"/>
  <c r="J79" i="1"/>
  <c r="H79" i="1"/>
  <c r="I77" i="1"/>
  <c r="J77" i="1"/>
  <c r="H77" i="1"/>
  <c r="I76" i="1"/>
  <c r="J76" i="1"/>
  <c r="H76" i="1"/>
  <c r="I74" i="1"/>
  <c r="J74" i="1"/>
  <c r="H74" i="1"/>
  <c r="I73" i="1"/>
  <c r="J73" i="1"/>
  <c r="H73" i="1"/>
  <c r="I51" i="1"/>
  <c r="J51" i="1"/>
  <c r="I50" i="1"/>
  <c r="J50" i="1"/>
  <c r="H50" i="1"/>
  <c r="I48" i="1"/>
  <c r="J48" i="1"/>
  <c r="H48" i="1"/>
  <c r="I31" i="1"/>
  <c r="J31" i="1"/>
  <c r="H31" i="1"/>
  <c r="F48" i="1"/>
  <c r="F50" i="1" s="1"/>
  <c r="F17" i="1"/>
  <c r="F18" i="1" s="1"/>
  <c r="F19" i="1" s="1"/>
  <c r="F21" i="1" s="1"/>
  <c r="F23" i="1" s="1"/>
  <c r="F7" i="1"/>
  <c r="F8" i="1" s="1"/>
  <c r="F9" i="1" s="1"/>
  <c r="F10" i="1" s="1"/>
  <c r="F11" i="1" s="1"/>
  <c r="F12" i="1" s="1"/>
  <c r="F13" i="1" s="1"/>
  <c r="F14" i="1" s="1"/>
  <c r="F6" i="1"/>
  <c r="D108" i="1"/>
  <c r="C108" i="1"/>
  <c r="B108" i="1"/>
  <c r="D99" i="1"/>
  <c r="C99" i="1"/>
  <c r="B99" i="1"/>
  <c r="F25" i="1" l="1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I10" i="1" l="1"/>
  <c r="I37" i="1"/>
  <c r="I11" i="1"/>
  <c r="J37" i="1"/>
  <c r="J11" i="1"/>
  <c r="J10" i="1"/>
  <c r="I12" i="1"/>
  <c r="I19" i="1"/>
  <c r="I36" i="1"/>
  <c r="B48" i="1"/>
  <c r="H44" i="1" s="1"/>
  <c r="H6" i="1"/>
  <c r="J7" i="1"/>
  <c r="J8" i="1"/>
  <c r="D13" i="1"/>
  <c r="J12" i="1"/>
  <c r="J19" i="1"/>
  <c r="J36" i="1"/>
  <c r="I6" i="1"/>
  <c r="H10" i="1"/>
  <c r="H37" i="1"/>
  <c r="H11" i="1"/>
  <c r="J6" i="1"/>
  <c r="H7" i="1"/>
  <c r="H8" i="1"/>
  <c r="H12" i="1"/>
  <c r="H36" i="1"/>
  <c r="H19" i="1"/>
  <c r="C62" i="1"/>
  <c r="I8" i="1"/>
  <c r="I7" i="1"/>
  <c r="F26" i="1"/>
  <c r="F27" i="1" s="1"/>
  <c r="F28" i="1" s="1"/>
  <c r="F29" i="1" s="1"/>
  <c r="F30" i="1" s="1"/>
  <c r="F31" i="1" s="1"/>
  <c r="F34" i="1"/>
  <c r="B13" i="1"/>
  <c r="C13" i="1"/>
  <c r="B62" i="1"/>
  <c r="C48" i="1"/>
  <c r="I44" i="1" s="1"/>
  <c r="D62" i="1"/>
  <c r="C69" i="1"/>
  <c r="D48" i="1"/>
  <c r="J44" i="1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I35" i="1" l="1"/>
  <c r="D69" i="1"/>
  <c r="B69" i="1"/>
  <c r="D18" i="1"/>
  <c r="D20" i="1" s="1"/>
  <c r="D22" i="1" s="1"/>
  <c r="J22" i="1"/>
  <c r="J21" i="1" s="1"/>
  <c r="H22" i="1"/>
  <c r="H21" i="1" s="1"/>
  <c r="J35" i="1"/>
  <c r="B18" i="1"/>
  <c r="B20" i="1" s="1"/>
  <c r="B22" i="1" s="1"/>
  <c r="C18" i="1"/>
  <c r="C20" i="1" s="1"/>
  <c r="C22" i="1" s="1"/>
  <c r="I22" i="1"/>
  <c r="I21" i="1" s="1"/>
  <c r="H35" i="1"/>
  <c r="F40" i="1"/>
  <c r="F41" i="1" s="1"/>
  <c r="F42" i="1" s="1"/>
  <c r="F43" i="1" s="1"/>
  <c r="F44" i="1" s="1"/>
  <c r="F45" i="1" s="1"/>
  <c r="F47" i="1" s="1"/>
  <c r="F49" i="1" s="1"/>
  <c r="F51" i="1" s="1"/>
  <c r="F35" i="1"/>
  <c r="F36" i="1" s="1"/>
  <c r="F37" i="1" s="1"/>
  <c r="F38" i="1" s="1"/>
  <c r="A24" i="3"/>
  <c r="A25" i="3" s="1"/>
  <c r="A26" i="3" s="1"/>
  <c r="A27" i="3" s="1"/>
  <c r="A28" i="3" s="1"/>
  <c r="A29" i="3" s="1"/>
  <c r="A30" i="3" s="1"/>
  <c r="A33" i="3"/>
  <c r="C76" i="1" l="1"/>
  <c r="C91" i="1" s="1"/>
  <c r="I38" i="1"/>
  <c r="B76" i="1"/>
  <c r="B91" i="1" s="1"/>
  <c r="H38" i="1"/>
  <c r="D76" i="1"/>
  <c r="D91" i="1" s="1"/>
  <c r="J38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D109" i="1" l="1"/>
  <c r="J29" i="1"/>
  <c r="J32" i="1"/>
  <c r="J30" i="1"/>
  <c r="B109" i="1"/>
  <c r="H30" i="1"/>
  <c r="H32" i="1"/>
  <c r="H29" i="1"/>
  <c r="C109" i="1"/>
  <c r="I29" i="1"/>
  <c r="I30" i="1"/>
  <c r="I32" i="1"/>
</calcChain>
</file>

<file path=xl/sharedStrings.xml><?xml version="1.0" encoding="utf-8"?>
<sst xmlns="http://schemas.openxmlformats.org/spreadsheetml/2006/main" count="279" uniqueCount="183">
  <si>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</si>
  <si>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</si>
  <si>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</si>
  <si>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</si>
  <si>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</si>
  <si>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</si>
  <si>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</si>
  <si>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</si>
  <si>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</si>
  <si>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</si>
  <si>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</si>
  <si>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</si>
  <si>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</si>
  <si>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</si>
  <si>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</si>
  <si>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</si>
  <si>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</si>
  <si>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</si>
  <si>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</si>
  <si>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</si>
  <si>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</si>
  <si>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</si>
  <si>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</si>
  <si>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</si>
  <si>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</si>
  <si>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</si>
  <si>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</si>
  <si>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</si>
  <si>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</si>
  <si>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</si>
  <si>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</si>
  <si>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</si>
  <si>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</si>
  <si>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</si>
  <si>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</si>
  <si>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</si>
  <si>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</si>
  <si>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</si>
  <si>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</si>
  <si>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</si>
  <si>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</si>
  <si>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</si>
  <si>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</si>
  <si>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</si>
  <si>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</si>
  <si>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</si>
  <si>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</si>
  <si>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</si>
  <si>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</si>
  <si>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</si>
  <si>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</si>
  <si>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</si>
  <si>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</si>
  <si>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</si>
  <si>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</si>
  <si>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</si>
  <si>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</si>
  <si>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</si>
  <si>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</si>
  <si>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</si>
  <si>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</si>
  <si>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</si>
  <si>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</si>
  <si>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</si>
  <si>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</si>
  <si>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</si>
  <si>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</si>
  <si>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</si>
  <si>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</si>
  <si>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</si>
  <si>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</si>
  <si>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</si>
  <si>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</si>
  <si>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</si>
  <si>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</si>
  <si>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</si>
  <si>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</si>
  <si>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</si>
  <si>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</si>
  <si>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</si>
  <si>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</si>
  <si>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</si>
  <si>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</si>
  <si>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</si>
  <si>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</si>
  <si>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</si>
  <si>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</si>
  <si>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</si>
  <si>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</si>
  <si>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</si>
  <si>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</si>
  <si>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</si>
  <si>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</si>
  <si>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</si>
  <si>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</si>
  <si>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</si>
  <si>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</si>
  <si>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</si>
  <si>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</si>
  <si>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</si>
  <si>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</si>
  <si>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</si>
  <si>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</si>
  <si>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</si>
  <si>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</si>
  <si>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</si>
  <si>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</si>
  <si>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</si>
  <si>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</si>
  <si>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</si>
  <si>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</si>
  <si>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</si>
  <si>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</si>
  <si>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</si>
  <si>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</si>
  <si>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</si>
  <si>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</si>
  <si>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</si>
  <si>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</si>
  <si>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</si>
  <si>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</si>
  <si>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</si>
  <si>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</si>
  <si>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</si>
  <si>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</si>
  <si>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</si>
  <si>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</si>
  <si>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</si>
  <si>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</si>
  <si>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</si>
  <si>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</si>
  <si>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</si>
  <si>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</si>
  <si>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</si>
  <si>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</si>
  <si>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</si>
  <si>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</si>
  <si>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</si>
  <si>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</si>
  <si>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</si>
  <si>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</si>
  <si>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</si>
  <si>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</si>
  <si>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</si>
  <si>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</si>
  <si>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</si>
  <si>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</si>
  <si>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</si>
  <si>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</si>
  <si>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</si>
  <si>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(Used Diluted for calculation)</t>
  </si>
  <si>
    <t>https://companiesmarketcap.com/apple</t>
  </si>
  <si>
    <t>https://companiesmarketcap.com/apple/marketcap/</t>
  </si>
  <si>
    <t>Current Assets / Daily Operational Expenses where Daily Operational Expenses = (Annual Operating Expenses - Noncash Charges) / 365</t>
  </si>
  <si>
    <t>Inventory Days + Receivable days - payable days</t>
  </si>
  <si>
    <t>Inventory + Receivables  - payables or Current assets - current liabilities</t>
  </si>
  <si>
    <t>Gross profit/Revenue</t>
  </si>
  <si>
    <t>Operating Income + Depreciation &amp; Amortization (can be found in cash flow statement)</t>
  </si>
  <si>
    <t>Operating income in row 18</t>
  </si>
  <si>
    <t>Net income/Revenue</t>
  </si>
  <si>
    <t>Include only term debt instead of total liabilities, since differed revenue is not an actual form of capital</t>
  </si>
  <si>
    <t>Share Price / Diluted EPS</t>
  </si>
  <si>
    <t>Net income/ Diluted number of Shares (note that the share count is in absolute number and income statement is in millions, therefore divide the shares by 1000)</t>
  </si>
  <si>
    <t>Share Price / Book Value per Share</t>
  </si>
  <si>
    <t>Dividend Paid / Net Income</t>
  </si>
  <si>
    <t>Dividend Paid (can be found in cash flow)/ Diluted number of Shares (note that the share count is in absolute number and income statement is in millions, therefore divide the shares by 1000)</t>
  </si>
  <si>
    <t>Dividend Per Share / Share Price</t>
  </si>
  <si>
    <t>EBIT / Capital Employed where Capital employed = Total shareholder equity + Term debt (under non-current liability)</t>
  </si>
  <si>
    <t>EV / EBITDA</t>
  </si>
  <si>
    <t>Market Cap + Total Debt - (Cash + Cash Equivalents), where Market Cap= Share price*Diluted number of shares/1000</t>
  </si>
  <si>
    <t>2022value/2021 value  -1</t>
  </si>
  <si>
    <t>2022 R&amp;D value/2021 R&amp;D value -1
2022 SG&amp;A value/2021 SG&amp;A value -1</t>
  </si>
  <si>
    <t>Capex = Purchase of property plant and equipment in cash flow</t>
  </si>
  <si>
    <t>Feedback</t>
  </si>
  <si>
    <t>Net Sales 2022</t>
  </si>
  <si>
    <t>Services 2022</t>
  </si>
  <si>
    <t>Products 2022</t>
  </si>
  <si>
    <t>Net Sales 2021</t>
  </si>
  <si>
    <t>Services 2021</t>
  </si>
  <si>
    <t>Products 2021</t>
  </si>
  <si>
    <t>Total Assets</t>
  </si>
  <si>
    <t>Total Liabilities</t>
  </si>
  <si>
    <t>Total Shareholder's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</si>
</sst>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1" fillId="0" borderId="1" xfId="1" applyNumberFormat="1" applyFont="1" applyBorder="1"/>
    <xf numFmtId="43" fontId="0" fillId="0" borderId="0" xfId="0" applyNumberFormat="1"/>
    <xf numFmtId="0" fontId="6" fillId="0" borderId="0" xfId="2"/>
    <xf numFmtId="43" fontId="0" fillId="0" borderId="0" xfId="1" applyFont="1"/>
    <xf numFmtId="0" fontId="0" fillId="0" borderId="0" xfId="0" applyAlignment="1">
      <alignment wrapText="1"/>
    </xf>
    <xf numFmtId="9" fontId="0" fillId="0" borderId="0" xfId="3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5" borderId="0" xfId="1" applyFont="1" applyFill="1"/>
    <xf numFmtId="167" fontId="0" fillId="5" borderId="0" xfId="1" applyNumberFormat="1" applyFont="1" applyFill="1"/>
    <xf numFmtId="167" fontId="0" fillId="5" borderId="0" xfId="0" applyNumberFormat="1" applyFill="1"/>
    <xf numFmtId="164" fontId="0" fillId="5" borderId="0" xfId="0" applyNumberFormat="1" applyFill="1"/>
    <xf numFmtId="43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10" fontId="0" fillId="5" borderId="0" xfId="0" applyNumberFormat="1" applyFill="1"/>
    <xf numFmtId="166" fontId="0" fillId="5" borderId="0" xfId="0" applyNumberFormat="1" applyFill="1"/>
    <xf numFmtId="0" fontId="0" fillId="0" borderId="0" xfId="0" applyFill="1"/>
    <xf numFmtId="0" fontId="2" fillId="0" borderId="0" xfId="0" applyNumberFormat="1" applyFont="1"/>
    <xf numFmtId="10" fontId="0" fillId="0" borderId="0" xfId="3" applyNumberFormat="1" applyFont="1"/>
    <xf numFmtId="10" fontId="0" fillId="5" borderId="0" xfId="3" applyNumberFormat="1" applyFont="1" applyFill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aniesmarketcap.com/apple" TargetMode="External"/><Relationship Id="rId2" Type="http://schemas.openxmlformats.org/officeDocument/2006/relationships/hyperlink" Target="https://companiesmarketcap.com/apple" TargetMode="External"/><Relationship Id="rId1" Type="http://schemas.openxmlformats.org/officeDocument/2006/relationships/hyperlink" Target="https://companiesmarketcap.com/apple" TargetMode="External"/><Relationship Id="rId5" Type="http://schemas.openxmlformats.org/officeDocument/2006/relationships/hyperlink" Target="https://companiesmarketcap.com/apple" TargetMode="External"/><Relationship Id="rId4" Type="http://schemas.openxmlformats.org/officeDocument/2006/relationships/hyperlink" Target="https://companiesmarketcap.com/app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4" workbookViewId="0">
      <selection activeCell="A38" sqref="A38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148</v>
      </c>
    </row>
    <row r="7" spans="1:4" x14ac:dyDescent="0.2">
      <c r="A7" s="1"/>
    </row>
    <row r="8" spans="1:4" x14ac:dyDescent="0.2">
      <c r="A8" s="17" t="s">
        <v>149</v>
      </c>
    </row>
    <row r="9" spans="1:4" x14ac:dyDescent="0.2">
      <c r="A9" s="1" t="s">
        <v>145</v>
      </c>
      <c r="B9" s="12"/>
      <c r="C9" s="12"/>
      <c r="D9" s="23"/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146</v>
      </c>
    </row>
    <row r="16" spans="1:4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tabSelected="1" topLeftCell="E64" zoomScale="96" workbookViewId="0">
      <selection activeCell="A53" sqref="A53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" customWidth="1"/>
    <col min="7" max="7" width="31" customWidth="1"/>
    <col min="8" max="8" width="29.5" bestFit="1" customWidth="1"/>
    <col min="9" max="9" width="28.5" bestFit="1" customWidth="1"/>
    <col min="10" max="10" width="11.83203125" customWidth="1"/>
    <col min="11" max="11" width="147.1640625" bestFit="1" customWidth="1"/>
    <col min="12" max="12" width="14.83203125" bestFit="1" customWidth="1"/>
    <col min="13" max="13" width="15.1640625" bestFit="1" customWidth="1"/>
  </cols>
  <sheetData>
    <row r="1" spans="1:11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  <c r="K1" s="30" t="s">
        <v>173</v>
      </c>
    </row>
    <row r="2" spans="1:11" x14ac:dyDescent="0.2">
      <c r="A2" s="32" t="s">
        <v>1</v>
      </c>
      <c r="B2" s="32"/>
      <c r="C2" s="32"/>
      <c r="D2" s="32"/>
    </row>
    <row r="3" spans="1:11" x14ac:dyDescent="0.2">
      <c r="B3" s="31" t="s">
        <v>23</v>
      </c>
      <c r="C3" s="31"/>
      <c r="D3" s="31"/>
    </row>
    <row r="4" spans="1:11" x14ac:dyDescent="0.2">
      <c r="B4" s="7">
        <v>2022</v>
      </c>
      <c r="C4" s="7">
        <v>2021</v>
      </c>
      <c r="D4" s="7">
        <v>2020</v>
      </c>
      <c r="H4" s="7">
        <v>2022</v>
      </c>
      <c r="I4" s="7">
        <v>2021</v>
      </c>
      <c r="J4" s="7">
        <v>2020</v>
      </c>
    </row>
    <row r="5" spans="1:11" x14ac:dyDescent="0.2">
      <c r="A5" t="s">
        <v>3</v>
      </c>
      <c r="F5" s="18">
        <v>1</v>
      </c>
      <c r="G5" s="7" t="s">
        <v>99</v>
      </c>
    </row>
    <row r="6" spans="1:11" x14ac:dyDescent="0.2">
      <c r="A6" s="1" t="s">
        <v>4</v>
      </c>
      <c r="B6" s="12">
        <v>316199</v>
      </c>
      <c r="C6" s="12">
        <v>297392</v>
      </c>
      <c r="D6" s="12">
        <v>220747</v>
      </c>
      <c r="F6" s="18">
        <f>+F5+0.1</f>
        <v>1.1000000000000001</v>
      </c>
      <c r="G6" s="1" t="s">
        <v>100</v>
      </c>
      <c r="H6" s="27">
        <f>B42/B56</f>
        <v>0.87935602862672257</v>
      </c>
      <c r="I6" s="27">
        <f t="shared" ref="I6:J6" si="0">C42/C56</f>
        <v>1.0745531195957954</v>
      </c>
      <c r="J6" s="27">
        <f t="shared" si="0"/>
        <v>1.3636044481554577</v>
      </c>
    </row>
    <row r="7" spans="1:11" x14ac:dyDescent="0.2">
      <c r="A7" s="1" t="s">
        <v>5</v>
      </c>
      <c r="B7" s="12">
        <v>78129</v>
      </c>
      <c r="C7" s="12">
        <v>68425</v>
      </c>
      <c r="D7" s="12">
        <v>53768</v>
      </c>
      <c r="F7" s="18">
        <f t="shared" ref="F7:F14" si="1">+F6+0.1</f>
        <v>1.2000000000000002</v>
      </c>
      <c r="G7" s="1" t="s">
        <v>101</v>
      </c>
      <c r="H7" s="27">
        <f>(B36+B38)/B56</f>
        <v>0.33659778415658975</v>
      </c>
      <c r="I7" s="27">
        <f t="shared" ref="I7:J7" si="2">(C36+C38)/C56</f>
        <v>0.48786668898080188</v>
      </c>
      <c r="J7" s="27">
        <f t="shared" si="2"/>
        <v>0.51366327614999241</v>
      </c>
    </row>
    <row r="8" spans="1:11" x14ac:dyDescent="0.2">
      <c r="A8" s="8" t="s">
        <v>6</v>
      </c>
      <c r="B8" s="13">
        <f>+B6+B7</f>
        <v>394328</v>
      </c>
      <c r="C8" s="13">
        <f t="shared" ref="C8:D8" si="3">+C6+C7</f>
        <v>365817</v>
      </c>
      <c r="D8" s="13">
        <f t="shared" si="3"/>
        <v>274515</v>
      </c>
      <c r="F8" s="18">
        <f t="shared" si="1"/>
        <v>1.3000000000000003</v>
      </c>
      <c r="G8" s="1" t="s">
        <v>102</v>
      </c>
      <c r="H8" s="27">
        <f>(B36+B37)/B56</f>
        <v>0.31369900377966253</v>
      </c>
      <c r="I8" s="27">
        <f t="shared" ref="I8:J8" si="4">(C36+C37)/C56</f>
        <v>0.49919111259872012</v>
      </c>
      <c r="J8" s="27">
        <f t="shared" si="4"/>
        <v>0.86290230757552755</v>
      </c>
    </row>
    <row r="9" spans="1:11" x14ac:dyDescent="0.2">
      <c r="A9" t="s">
        <v>7</v>
      </c>
      <c r="B9" s="12"/>
      <c r="C9" s="12"/>
      <c r="D9" s="12"/>
      <c r="F9" s="18">
        <f t="shared" si="1"/>
        <v>1.4000000000000004</v>
      </c>
      <c r="G9" s="1" t="s">
        <v>103</v>
      </c>
      <c r="H9" s="34">
        <f>(B42/(B17-B11))/365</f>
        <v>1.2674157934394466E-2</v>
      </c>
      <c r="I9" s="34">
        <f t="shared" ref="I9:J9" si="5">(C42/(C17-C11))/365</f>
        <v>1.5942244891685525E-2</v>
      </c>
      <c r="J9" s="34">
        <f t="shared" si="5"/>
        <v>1.9305430084596346E-2</v>
      </c>
      <c r="K9" t="s">
        <v>153</v>
      </c>
    </row>
    <row r="10" spans="1:11" x14ac:dyDescent="0.2">
      <c r="A10" s="1" t="s">
        <v>4</v>
      </c>
      <c r="B10" s="12">
        <v>201471</v>
      </c>
      <c r="C10" s="12">
        <v>192266</v>
      </c>
      <c r="D10" s="12">
        <v>151286</v>
      </c>
      <c r="F10" s="18">
        <f t="shared" si="1"/>
        <v>1.5000000000000004</v>
      </c>
      <c r="G10" s="1" t="s">
        <v>104</v>
      </c>
      <c r="H10" s="27">
        <f>(B39/B12)*365</f>
        <v>8.0756980666171607</v>
      </c>
      <c r="I10" s="27">
        <f t="shared" ref="I10:J10" si="6">(C39/C12)*365</f>
        <v>11.27659274770989</v>
      </c>
      <c r="J10" s="27">
        <f t="shared" si="6"/>
        <v>8.7418833562358831</v>
      </c>
    </row>
    <row r="11" spans="1:11" x14ac:dyDescent="0.2">
      <c r="A11" s="1" t="s">
        <v>5</v>
      </c>
      <c r="B11" s="12">
        <v>22075</v>
      </c>
      <c r="C11" s="12">
        <v>20715</v>
      </c>
      <c r="D11" s="12">
        <v>18273</v>
      </c>
      <c r="F11" s="18">
        <f t="shared" si="1"/>
        <v>1.6000000000000005</v>
      </c>
      <c r="G11" s="1" t="s">
        <v>105</v>
      </c>
      <c r="H11" s="27">
        <f>(B51/B12)*365</f>
        <v>104.68527730310539</v>
      </c>
      <c r="I11" s="27">
        <f t="shared" ref="I11:J11" si="7">(C51/C12)*365</f>
        <v>93.851071222315596</v>
      </c>
      <c r="J11" s="27">
        <f t="shared" si="7"/>
        <v>91.048189715674198</v>
      </c>
    </row>
    <row r="12" spans="1:11" x14ac:dyDescent="0.2">
      <c r="A12" s="8" t="s">
        <v>8</v>
      </c>
      <c r="B12" s="13">
        <f>+B10+B11</f>
        <v>223546</v>
      </c>
      <c r="C12" s="13">
        <f t="shared" ref="C12:D12" si="8">+C10+C11</f>
        <v>212981</v>
      </c>
      <c r="D12" s="13">
        <f t="shared" si="8"/>
        <v>169559</v>
      </c>
      <c r="F12" s="18">
        <f t="shared" si="1"/>
        <v>1.7000000000000006</v>
      </c>
      <c r="G12" s="1" t="s">
        <v>106</v>
      </c>
      <c r="H12" s="27">
        <f>(B38/B8)*365</f>
        <v>26.087825363656648</v>
      </c>
      <c r="I12" s="27">
        <f t="shared" ref="I12:J12" si="9">(C38/C8)*365</f>
        <v>26.219311841713207</v>
      </c>
      <c r="J12" s="27">
        <f t="shared" si="9"/>
        <v>21.433437152796749</v>
      </c>
    </row>
    <row r="13" spans="1:11" x14ac:dyDescent="0.2">
      <c r="A13" s="8" t="s">
        <v>9</v>
      </c>
      <c r="B13" s="13">
        <f>+B8-B12</f>
        <v>170782</v>
      </c>
      <c r="C13" s="13">
        <f t="shared" ref="C13:D13" si="10">+C8-C12</f>
        <v>152836</v>
      </c>
      <c r="D13" s="13">
        <f t="shared" si="10"/>
        <v>104956</v>
      </c>
      <c r="F13" s="18">
        <f t="shared" si="1"/>
        <v>1.8000000000000007</v>
      </c>
      <c r="G13" s="1" t="s">
        <v>107</v>
      </c>
      <c r="H13" s="33">
        <f>H10+H12-H11</f>
        <v>-70.521753872831582</v>
      </c>
      <c r="I13" s="33">
        <f t="shared" ref="I13:J13" si="11">I10+I12-I11</f>
        <v>-56.355166632892498</v>
      </c>
      <c r="J13" s="33">
        <f t="shared" si="11"/>
        <v>-60.872869206641568</v>
      </c>
      <c r="K13" t="s">
        <v>154</v>
      </c>
    </row>
    <row r="14" spans="1:11" x14ac:dyDescent="0.2">
      <c r="A14" t="s">
        <v>10</v>
      </c>
      <c r="B14" s="12"/>
      <c r="C14" s="12"/>
      <c r="D14" s="12"/>
      <c r="F14" s="18">
        <f t="shared" si="1"/>
        <v>1.9000000000000008</v>
      </c>
      <c r="G14" s="1" t="s">
        <v>108</v>
      </c>
      <c r="H14" s="33">
        <f>(H15/B8)*100</f>
        <v>-7.8576717859244081</v>
      </c>
      <c r="I14" s="33">
        <f t="shared" ref="I14:J14" si="12">(I15/C8)*100</f>
        <v>-5.9879666609260918</v>
      </c>
      <c r="J14" s="33">
        <f t="shared" si="12"/>
        <v>-8.0560260823634398</v>
      </c>
    </row>
    <row r="15" spans="1:11" x14ac:dyDescent="0.2">
      <c r="A15" s="1" t="s">
        <v>11</v>
      </c>
      <c r="B15" s="12">
        <v>26251</v>
      </c>
      <c r="C15" s="12">
        <v>21914</v>
      </c>
      <c r="D15" s="12">
        <v>18752</v>
      </c>
      <c r="F15" s="18"/>
      <c r="G15" s="3" t="s">
        <v>109</v>
      </c>
      <c r="H15" s="33">
        <f>B38+B39-B51</f>
        <v>-30985</v>
      </c>
      <c r="I15" s="33">
        <f t="shared" ref="I15:J15" si="13">C38+C39-C51</f>
        <v>-21905</v>
      </c>
      <c r="J15" s="33">
        <f t="shared" si="13"/>
        <v>-22115</v>
      </c>
      <c r="K15" t="s">
        <v>155</v>
      </c>
    </row>
    <row r="16" spans="1:11" x14ac:dyDescent="0.2">
      <c r="A16" s="1" t="s">
        <v>12</v>
      </c>
      <c r="B16" s="12">
        <v>25094</v>
      </c>
      <c r="C16" s="12">
        <v>21973</v>
      </c>
      <c r="D16" s="12">
        <v>19916</v>
      </c>
      <c r="F16" s="18"/>
      <c r="H16" s="23"/>
    </row>
    <row r="17" spans="1:11" x14ac:dyDescent="0.2">
      <c r="A17" s="8" t="s">
        <v>13</v>
      </c>
      <c r="B17" s="13">
        <f>+B15+B16</f>
        <v>51345</v>
      </c>
      <c r="C17" s="13">
        <f t="shared" ref="C17" si="14">+C15+C16</f>
        <v>43887</v>
      </c>
      <c r="D17" s="13">
        <f t="shared" ref="D17" si="15">+D15+D16</f>
        <v>38668</v>
      </c>
      <c r="F17" s="18">
        <f>+F5+1</f>
        <v>2</v>
      </c>
      <c r="G17" s="17" t="s">
        <v>110</v>
      </c>
    </row>
    <row r="18" spans="1:11" s="7" customFormat="1" x14ac:dyDescent="0.2">
      <c r="A18" s="8" t="s">
        <v>14</v>
      </c>
      <c r="B18" s="13">
        <f>+B13-B17</f>
        <v>119437</v>
      </c>
      <c r="C18" s="13">
        <f t="shared" ref="C18:D18" si="16">+C13-C17</f>
        <v>108949</v>
      </c>
      <c r="D18" s="13">
        <f t="shared" si="16"/>
        <v>66288</v>
      </c>
      <c r="F18" s="18">
        <f>+F17+0.1</f>
        <v>2.1</v>
      </c>
      <c r="G18" s="1" t="s">
        <v>9</v>
      </c>
      <c r="H18" s="35">
        <f>B22/B8</f>
        <v>0.25309640705199732</v>
      </c>
      <c r="I18" s="35">
        <f t="shared" ref="I18:J18" si="17">C22/C8</f>
        <v>0.25881793355694238</v>
      </c>
      <c r="J18" s="35">
        <f t="shared" si="17"/>
        <v>0.20913611278072236</v>
      </c>
      <c r="K18" t="s">
        <v>156</v>
      </c>
    </row>
    <row r="19" spans="1:11" x14ac:dyDescent="0.2">
      <c r="A19" t="s">
        <v>15</v>
      </c>
      <c r="B19" s="12">
        <v>-334</v>
      </c>
      <c r="C19" s="12">
        <v>258</v>
      </c>
      <c r="D19" s="12">
        <v>803</v>
      </c>
      <c r="F19" s="18">
        <f>+F18+0.1</f>
        <v>2.2000000000000002</v>
      </c>
      <c r="G19" s="1" t="s">
        <v>111</v>
      </c>
      <c r="H19">
        <f>H20/B8</f>
        <v>0.3310467428130896</v>
      </c>
      <c r="I19">
        <f t="shared" ref="I19:J19" si="18">I20/C8</f>
        <v>0.32866979938056462</v>
      </c>
      <c r="J19">
        <f t="shared" si="18"/>
        <v>0.2817478097736007</v>
      </c>
    </row>
    <row r="20" spans="1:11" x14ac:dyDescent="0.2">
      <c r="A20" s="8" t="s">
        <v>16</v>
      </c>
      <c r="B20" s="13">
        <f>+B18+B19</f>
        <v>119103</v>
      </c>
      <c r="C20" s="13">
        <f t="shared" ref="C20:D20" si="19">+C18+C19</f>
        <v>109207</v>
      </c>
      <c r="D20" s="13">
        <f t="shared" si="19"/>
        <v>67091</v>
      </c>
      <c r="F20" s="18"/>
      <c r="G20" s="3" t="s">
        <v>112</v>
      </c>
      <c r="H20" s="36">
        <f>B18+B79</f>
        <v>130541</v>
      </c>
      <c r="I20" s="36">
        <f t="shared" ref="I20:J20" si="20">C18+C79</f>
        <v>120233</v>
      </c>
      <c r="J20" s="36">
        <f t="shared" si="20"/>
        <v>77344</v>
      </c>
      <c r="K20" t="s">
        <v>157</v>
      </c>
    </row>
    <row r="21" spans="1:11" x14ac:dyDescent="0.2">
      <c r="A21" t="s">
        <v>17</v>
      </c>
      <c r="B21" s="12">
        <v>19300</v>
      </c>
      <c r="C21" s="12">
        <v>14527</v>
      </c>
      <c r="D21" s="12">
        <v>9680</v>
      </c>
      <c r="F21" s="18">
        <f>+F19+0.1</f>
        <v>2.3000000000000003</v>
      </c>
      <c r="G21" s="1" t="s">
        <v>113</v>
      </c>
      <c r="H21">
        <f>H22/B8</f>
        <v>0.30288744395528594</v>
      </c>
      <c r="I21">
        <f t="shared" ref="I21:J21" si="21">I22/C8</f>
        <v>0.29782377527561593</v>
      </c>
      <c r="J21">
        <f t="shared" si="21"/>
        <v>0.24147314354406862</v>
      </c>
    </row>
    <row r="22" spans="1:11" ht="16" thickBot="1" x14ac:dyDescent="0.25">
      <c r="A22" s="9" t="s">
        <v>18</v>
      </c>
      <c r="B22" s="14">
        <f>+B20-B21</f>
        <v>99803</v>
      </c>
      <c r="C22" s="14">
        <f t="shared" ref="C22:D22" si="22">+C20-C21</f>
        <v>94680</v>
      </c>
      <c r="D22" s="14">
        <f t="shared" si="22"/>
        <v>57411</v>
      </c>
      <c r="F22" s="18"/>
      <c r="G22" s="3" t="s">
        <v>114</v>
      </c>
      <c r="H22" s="36">
        <f>B13-B17</f>
        <v>119437</v>
      </c>
      <c r="I22" s="36">
        <f t="shared" ref="I22:J22" si="23">C13-C17</f>
        <v>108949</v>
      </c>
      <c r="J22" s="36">
        <f t="shared" si="23"/>
        <v>66288</v>
      </c>
      <c r="K22" t="s">
        <v>158</v>
      </c>
    </row>
    <row r="23" spans="1:11" ht="16" thickTop="1" x14ac:dyDescent="0.2">
      <c r="A23" t="s">
        <v>19</v>
      </c>
      <c r="F23" s="18">
        <f>+F21+0.1</f>
        <v>2.4000000000000004</v>
      </c>
      <c r="G23" s="1" t="s">
        <v>115</v>
      </c>
      <c r="H23" s="38">
        <f>B22/B8</f>
        <v>0.25309640705199732</v>
      </c>
      <c r="I23" s="38">
        <f t="shared" ref="I23:J23" si="24">C22/C8</f>
        <v>0.25881793355694238</v>
      </c>
      <c r="J23" s="38">
        <f t="shared" si="24"/>
        <v>0.20913611278072236</v>
      </c>
      <c r="K23" t="s">
        <v>159</v>
      </c>
    </row>
    <row r="24" spans="1:11" x14ac:dyDescent="0.2">
      <c r="A24" s="1" t="s">
        <v>20</v>
      </c>
      <c r="B24" s="10">
        <v>6.15</v>
      </c>
      <c r="C24" s="10">
        <v>5.67</v>
      </c>
      <c r="D24" s="10">
        <v>3.31</v>
      </c>
      <c r="F24" s="18"/>
    </row>
    <row r="25" spans="1:11" x14ac:dyDescent="0.2">
      <c r="A25" s="1" t="s">
        <v>21</v>
      </c>
      <c r="B25" s="10">
        <v>6.11</v>
      </c>
      <c r="C25" s="10">
        <v>5.61</v>
      </c>
      <c r="D25" s="10">
        <v>3.28</v>
      </c>
      <c r="F25" s="18">
        <f>+F17+1</f>
        <v>3</v>
      </c>
      <c r="G25" s="7" t="s">
        <v>116</v>
      </c>
    </row>
    <row r="26" spans="1:11" x14ac:dyDescent="0.2">
      <c r="A26" t="s">
        <v>22</v>
      </c>
      <c r="F26" s="18">
        <f>+F25+0.1</f>
        <v>3.1</v>
      </c>
      <c r="G26" s="1" t="s">
        <v>117</v>
      </c>
      <c r="H26" s="37">
        <f>(B59/B68)</f>
        <v>1.9529325860435744</v>
      </c>
      <c r="I26" s="37">
        <f t="shared" ref="I26:J26" si="25">(C59/C68)</f>
        <v>1.729370740212395</v>
      </c>
      <c r="J26" s="37">
        <f t="shared" si="25"/>
        <v>1.5100782075024104</v>
      </c>
      <c r="K26" t="s">
        <v>160</v>
      </c>
    </row>
    <row r="27" spans="1:11" x14ac:dyDescent="0.2">
      <c r="A27" s="1" t="s">
        <v>20</v>
      </c>
      <c r="B27" s="2">
        <v>16215963</v>
      </c>
      <c r="C27" s="2">
        <v>16701272</v>
      </c>
      <c r="D27" s="2">
        <v>17352119</v>
      </c>
      <c r="F27" s="18">
        <f t="shared" ref="F27:F31" si="26">+F26+0.1</f>
        <v>3.2</v>
      </c>
      <c r="G27" s="1" t="s">
        <v>118</v>
      </c>
      <c r="H27" s="38">
        <f>B59/B48</f>
        <v>0.28053181386514719</v>
      </c>
      <c r="I27" s="38">
        <f t="shared" ref="I27:J27" si="27">C59/C48</f>
        <v>0.31084153366647482</v>
      </c>
      <c r="J27" s="38">
        <f t="shared" si="27"/>
        <v>0.30463308304105124</v>
      </c>
      <c r="K27" t="s">
        <v>160</v>
      </c>
    </row>
    <row r="28" spans="1:11" x14ac:dyDescent="0.2">
      <c r="A28" s="1" t="s">
        <v>21</v>
      </c>
      <c r="B28" s="2">
        <v>16325819</v>
      </c>
      <c r="C28" s="2">
        <v>16864919</v>
      </c>
      <c r="D28" s="2">
        <v>17528214</v>
      </c>
      <c r="F28" s="18">
        <f t="shared" si="26"/>
        <v>3.3000000000000003</v>
      </c>
      <c r="G28" s="1" t="s">
        <v>119</v>
      </c>
      <c r="H28" s="38">
        <f>B59/B48</f>
        <v>0.28053181386514719</v>
      </c>
      <c r="I28" s="38">
        <f t="shared" ref="I28:J28" si="28">C59/C48</f>
        <v>0.31084153366647482</v>
      </c>
      <c r="J28" s="38">
        <f t="shared" si="28"/>
        <v>0.30463308304105124</v>
      </c>
      <c r="K28" t="s">
        <v>160</v>
      </c>
    </row>
    <row r="29" spans="1:11" x14ac:dyDescent="0.2">
      <c r="F29" s="18">
        <f t="shared" si="26"/>
        <v>3.4000000000000004</v>
      </c>
      <c r="G29" s="1" t="s">
        <v>120</v>
      </c>
      <c r="H29" s="25">
        <f>B91/-B105</f>
        <v>12.80006287331028</v>
      </c>
      <c r="I29" s="25">
        <f t="shared" ref="I29:J29" si="29">C91/-C105</f>
        <v>11.890057142857144</v>
      </c>
      <c r="J29" s="25">
        <f t="shared" si="29"/>
        <v>6.3879958824926755</v>
      </c>
    </row>
    <row r="30" spans="1:11" x14ac:dyDescent="0.2">
      <c r="F30" s="18">
        <f t="shared" si="26"/>
        <v>3.5000000000000004</v>
      </c>
      <c r="G30" s="1" t="s">
        <v>121</v>
      </c>
      <c r="H30" s="25">
        <f>B91/-B99</f>
        <v>5.4643911604187174</v>
      </c>
      <c r="I30" s="25">
        <f t="shared" ref="I30:J30" si="30">C91/-C99</f>
        <v>7.1528360261258168</v>
      </c>
      <c r="J30" s="25">
        <f t="shared" si="30"/>
        <v>18.809512706924693</v>
      </c>
    </row>
    <row r="31" spans="1:11" x14ac:dyDescent="0.2">
      <c r="A31" s="32" t="s">
        <v>24</v>
      </c>
      <c r="B31" s="32"/>
      <c r="C31" s="32"/>
      <c r="D31" s="32"/>
      <c r="F31" s="18">
        <f t="shared" si="26"/>
        <v>3.6000000000000005</v>
      </c>
      <c r="G31" s="1" t="s">
        <v>122</v>
      </c>
      <c r="H31" s="25">
        <f>H32/B28*1000</f>
        <v>7.4820748655856102</v>
      </c>
      <c r="I31" s="25">
        <f t="shared" ref="I31:J31" si="31">I32/C28*1000</f>
        <v>6.1689000700210892</v>
      </c>
      <c r="J31" s="25">
        <f t="shared" si="31"/>
        <v>4.6025225388051521</v>
      </c>
      <c r="K31" t="s">
        <v>150</v>
      </c>
    </row>
    <row r="32" spans="1:11" x14ac:dyDescent="0.2">
      <c r="B32" s="31" t="s">
        <v>142</v>
      </c>
      <c r="C32" s="31"/>
      <c r="D32" s="31"/>
      <c r="F32" s="18"/>
      <c r="G32" s="3" t="s">
        <v>123</v>
      </c>
      <c r="H32" s="23">
        <f>B91</f>
        <v>122151</v>
      </c>
      <c r="I32" s="23">
        <f t="shared" ref="I32:J32" si="32">C91</f>
        <v>104038</v>
      </c>
      <c r="J32" s="23">
        <f t="shared" si="32"/>
        <v>80674</v>
      </c>
    </row>
    <row r="33" spans="1:12" x14ac:dyDescent="0.2">
      <c r="B33" s="7">
        <f>+B4</f>
        <v>2022</v>
      </c>
      <c r="C33" s="7">
        <f t="shared" ref="C33:D33" si="33">+C4</f>
        <v>2021</v>
      </c>
      <c r="D33" s="7">
        <f t="shared" si="33"/>
        <v>2020</v>
      </c>
      <c r="F33" s="18"/>
    </row>
    <row r="34" spans="1:12" x14ac:dyDescent="0.2">
      <c r="F34" s="18">
        <f>+F25+1</f>
        <v>4</v>
      </c>
      <c r="G34" s="17" t="s">
        <v>124</v>
      </c>
    </row>
    <row r="35" spans="1:12" x14ac:dyDescent="0.2">
      <c r="A35" t="s">
        <v>25</v>
      </c>
      <c r="F35" s="18">
        <f>+F34+0.1</f>
        <v>4.0999999999999996</v>
      </c>
      <c r="G35" s="1" t="s">
        <v>125</v>
      </c>
      <c r="H35">
        <f>B8/(B48)</f>
        <v>1.1178523337727317</v>
      </c>
      <c r="I35">
        <f t="shared" ref="I35:J35" si="34">C8/(C48)</f>
        <v>1.0422077367080529</v>
      </c>
      <c r="J35">
        <f t="shared" si="34"/>
        <v>0.84756150274168851</v>
      </c>
    </row>
    <row r="36" spans="1:12" x14ac:dyDescent="0.2">
      <c r="A36" s="1" t="s">
        <v>26</v>
      </c>
      <c r="B36" s="12">
        <v>23646</v>
      </c>
      <c r="C36" s="12">
        <v>34940</v>
      </c>
      <c r="D36" s="12">
        <v>38016</v>
      </c>
      <c r="F36" s="18">
        <f t="shared" ref="F36:F38" si="35">+F35+0.1</f>
        <v>4.1999999999999993</v>
      </c>
      <c r="G36" s="1" t="s">
        <v>126</v>
      </c>
      <c r="H36">
        <f>B8/B42</f>
        <v>2.9122115136073261</v>
      </c>
      <c r="I36">
        <f t="shared" ref="I36:J36" si="36">C8/C42</f>
        <v>2.7130514106025099</v>
      </c>
      <c r="J36">
        <f t="shared" si="36"/>
        <v>1.9101612241063788</v>
      </c>
    </row>
    <row r="37" spans="1:12" x14ac:dyDescent="0.2">
      <c r="A37" s="1" t="s">
        <v>27</v>
      </c>
      <c r="B37" s="12">
        <v>24658</v>
      </c>
      <c r="C37" s="12">
        <v>27699</v>
      </c>
      <c r="D37" s="12">
        <v>52927</v>
      </c>
      <c r="F37" s="18">
        <f t="shared" si="35"/>
        <v>4.2999999999999989</v>
      </c>
      <c r="G37" s="1" t="s">
        <v>127</v>
      </c>
      <c r="H37">
        <f>B12/B39</f>
        <v>45.197331176708452</v>
      </c>
      <c r="I37">
        <f t="shared" ref="I37:J37" si="37">C12/C39</f>
        <v>32.367933130699086</v>
      </c>
      <c r="J37">
        <f t="shared" si="37"/>
        <v>41.753016498399411</v>
      </c>
    </row>
    <row r="38" spans="1:12" x14ac:dyDescent="0.2">
      <c r="A38" s="1" t="s">
        <v>28</v>
      </c>
      <c r="B38" s="12">
        <v>28184</v>
      </c>
      <c r="C38" s="12">
        <v>26278</v>
      </c>
      <c r="D38" s="12">
        <v>16120</v>
      </c>
      <c r="F38" s="18">
        <f t="shared" si="35"/>
        <v>4.3999999999999986</v>
      </c>
      <c r="G38" s="1" t="s">
        <v>128</v>
      </c>
      <c r="H38">
        <f>B22/B48</f>
        <v>0.28292440929256851</v>
      </c>
      <c r="I38">
        <f t="shared" ref="I38:J38" si="38">C22/C48</f>
        <v>0.26974205275183616</v>
      </c>
      <c r="J38">
        <f t="shared" si="38"/>
        <v>0.1772557180259843</v>
      </c>
    </row>
    <row r="39" spans="1:12" x14ac:dyDescent="0.2">
      <c r="A39" s="1" t="s">
        <v>29</v>
      </c>
      <c r="B39" s="12">
        <v>4946</v>
      </c>
      <c r="C39" s="12">
        <v>6580</v>
      </c>
      <c r="D39" s="12">
        <v>4061</v>
      </c>
      <c r="F39" s="18"/>
    </row>
    <row r="40" spans="1:12" x14ac:dyDescent="0.2">
      <c r="A40" s="1" t="s">
        <v>47</v>
      </c>
      <c r="B40" s="12">
        <v>32748</v>
      </c>
      <c r="C40" s="12">
        <v>25228</v>
      </c>
      <c r="D40" s="12">
        <v>21325</v>
      </c>
      <c r="F40" s="18">
        <f>+F34+1</f>
        <v>5</v>
      </c>
      <c r="G40" s="17" t="s">
        <v>129</v>
      </c>
    </row>
    <row r="41" spans="1:12" x14ac:dyDescent="0.2">
      <c r="A41" s="1" t="s">
        <v>30</v>
      </c>
      <c r="B41" s="12">
        <v>21223</v>
      </c>
      <c r="C41" s="12">
        <v>14111</v>
      </c>
      <c r="D41" s="12">
        <v>11264</v>
      </c>
      <c r="F41" s="18">
        <f>+F40+0.1</f>
        <v>5.0999999999999996</v>
      </c>
      <c r="G41" s="1" t="s">
        <v>130</v>
      </c>
      <c r="H41" s="39">
        <f>138.2/B25</f>
        <v>22.618657937806869</v>
      </c>
      <c r="I41" s="39">
        <f>141.5/C25</f>
        <v>25.222816399286987</v>
      </c>
      <c r="J41" s="39">
        <f>115.8/D25</f>
        <v>35.304878048780488</v>
      </c>
      <c r="K41" t="s">
        <v>161</v>
      </c>
      <c r="L41" s="26" t="s">
        <v>151</v>
      </c>
    </row>
    <row r="42" spans="1:12" x14ac:dyDescent="0.2">
      <c r="A42" s="8" t="s">
        <v>31</v>
      </c>
      <c r="B42" s="13">
        <f>+SUM(B36:B41)</f>
        <v>135405</v>
      </c>
      <c r="C42" s="13">
        <f t="shared" ref="C42:D42" si="39">+SUM(C36:C41)</f>
        <v>134836</v>
      </c>
      <c r="D42" s="13">
        <f t="shared" si="39"/>
        <v>143713</v>
      </c>
      <c r="F42" s="18">
        <f t="shared" ref="F42:F45" si="40">+F41+0.1</f>
        <v>5.1999999999999993</v>
      </c>
      <c r="G42" s="3" t="s">
        <v>131</v>
      </c>
      <c r="H42" s="37">
        <f>B22/(B28/1000)</f>
        <v>6.1132002014722815</v>
      </c>
      <c r="I42" s="37">
        <f t="shared" ref="I42:J42" si="41">C22/(C28/1000)</f>
        <v>5.6140204408927188</v>
      </c>
      <c r="J42" s="37">
        <f t="shared" si="41"/>
        <v>3.2753479618630856</v>
      </c>
      <c r="K42" t="s">
        <v>162</v>
      </c>
      <c r="L42" s="26"/>
    </row>
    <row r="43" spans="1:12" x14ac:dyDescent="0.2">
      <c r="A43" t="s">
        <v>48</v>
      </c>
      <c r="B43" s="12"/>
      <c r="C43" s="12"/>
      <c r="D43" s="12"/>
      <c r="F43" s="18">
        <f t="shared" si="40"/>
        <v>5.2999999999999989</v>
      </c>
      <c r="G43" s="1" t="s">
        <v>132</v>
      </c>
      <c r="H43" s="37">
        <f>138.2/H44</f>
        <v>44.526132495263646</v>
      </c>
      <c r="I43" s="37">
        <f>141.5/I44</f>
        <v>37.82510760025361</v>
      </c>
      <c r="J43" s="37">
        <f>115.8/J44</f>
        <v>31.065170590305939</v>
      </c>
      <c r="K43" t="s">
        <v>163</v>
      </c>
      <c r="L43" s="26" t="s">
        <v>151</v>
      </c>
    </row>
    <row r="44" spans="1:12" x14ac:dyDescent="0.2">
      <c r="A44" s="1" t="s">
        <v>27</v>
      </c>
      <c r="B44" s="12">
        <v>120805</v>
      </c>
      <c r="C44" s="12">
        <v>127877</v>
      </c>
      <c r="D44" s="12">
        <v>100887</v>
      </c>
      <c r="F44" s="18">
        <f t="shared" si="40"/>
        <v>5.3999999999999986</v>
      </c>
      <c r="G44" s="3" t="s">
        <v>133</v>
      </c>
      <c r="H44" s="25">
        <f>(B48-B62)/B28*1000</f>
        <v>3.1037952827971451</v>
      </c>
      <c r="I44" s="25">
        <f t="shared" ref="I44:J44" si="42">(C48-C62)/C28*1000</f>
        <v>3.740901453484597</v>
      </c>
      <c r="J44" s="25">
        <f t="shared" si="42"/>
        <v>3.7276473233382479</v>
      </c>
    </row>
    <row r="45" spans="1:12" x14ac:dyDescent="0.2">
      <c r="A45" s="1" t="s">
        <v>32</v>
      </c>
      <c r="B45" s="12">
        <v>42117</v>
      </c>
      <c r="C45" s="12">
        <v>39440</v>
      </c>
      <c r="D45" s="12">
        <v>36766</v>
      </c>
      <c r="F45" s="18">
        <f t="shared" si="40"/>
        <v>5.4999999999999982</v>
      </c>
      <c r="G45" s="1" t="s">
        <v>134</v>
      </c>
      <c r="H45" s="33">
        <f>B102/B22*-1</f>
        <v>0.14870294480125848</v>
      </c>
      <c r="I45" s="33">
        <f>C102/C22*-1</f>
        <v>0.15279890156316012</v>
      </c>
      <c r="J45" s="33">
        <f>D102/D22*-1</f>
        <v>0.24526658654264863</v>
      </c>
      <c r="K45" t="s">
        <v>164</v>
      </c>
      <c r="L45" s="26" t="s">
        <v>151</v>
      </c>
    </row>
    <row r="46" spans="1:12" x14ac:dyDescent="0.2">
      <c r="A46" s="1" t="s">
        <v>49</v>
      </c>
      <c r="B46" s="12">
        <v>54428</v>
      </c>
      <c r="C46" s="12">
        <v>48849</v>
      </c>
      <c r="D46" s="12">
        <v>42522</v>
      </c>
      <c r="F46" s="18"/>
      <c r="G46" s="3" t="s">
        <v>135</v>
      </c>
      <c r="H46" s="37">
        <f>B102/(B28/1000)*-1</f>
        <v>0.90905087211857494</v>
      </c>
      <c r="I46" s="37">
        <f>C102/(C28/1000)*-1</f>
        <v>0.85781615672153533</v>
      </c>
      <c r="J46" s="37">
        <f>D102/(D28/1000)*-1</f>
        <v>0.80333341434558025</v>
      </c>
      <c r="K46" t="s">
        <v>165</v>
      </c>
      <c r="L46" s="26" t="s">
        <v>151</v>
      </c>
    </row>
    <row r="47" spans="1:12" x14ac:dyDescent="0.2">
      <c r="A47" s="8" t="s">
        <v>50</v>
      </c>
      <c r="B47" s="13">
        <f>+SUM(B44:B46)</f>
        <v>217350</v>
      </c>
      <c r="C47" s="13">
        <f t="shared" ref="C47:D47" si="43">+SUM(C44:C46)</f>
        <v>216166</v>
      </c>
      <c r="D47" s="13">
        <f t="shared" si="43"/>
        <v>180175</v>
      </c>
      <c r="F47" s="18">
        <f>+F45+0.1</f>
        <v>5.5999999999999979</v>
      </c>
      <c r="G47" s="1" t="s">
        <v>136</v>
      </c>
      <c r="H47" s="40">
        <f>(H46/138.2)</f>
        <v>6.5777921282096597E-3</v>
      </c>
      <c r="I47" s="40">
        <f>(I46/141.5)</f>
        <v>6.0623049944984828E-3</v>
      </c>
      <c r="J47" s="40">
        <f>(J46/115.8)</f>
        <v>6.9372488285455985E-3</v>
      </c>
      <c r="K47" t="s">
        <v>166</v>
      </c>
      <c r="L47" s="26" t="s">
        <v>151</v>
      </c>
    </row>
    <row r="48" spans="1:12" ht="16" thickBot="1" x14ac:dyDescent="0.25">
      <c r="A48" s="9" t="s">
        <v>33</v>
      </c>
      <c r="B48" s="14">
        <f>+B42+B47</f>
        <v>352755</v>
      </c>
      <c r="C48" s="14">
        <f t="shared" ref="C48:D48" si="44">+C42+C47</f>
        <v>351002</v>
      </c>
      <c r="D48" s="14">
        <f t="shared" si="44"/>
        <v>323888</v>
      </c>
      <c r="F48" s="18">
        <f t="shared" ref="F48:F51" si="45">+F46+0.1</f>
        <v>0.1</v>
      </c>
      <c r="G48" s="1" t="s">
        <v>137</v>
      </c>
      <c r="H48" s="25">
        <f>B22/B68</f>
        <v>1.9695887275023682</v>
      </c>
      <c r="I48" s="25">
        <f t="shared" ref="I48:J48" si="46">C22/C68</f>
        <v>1.5007132667617689</v>
      </c>
      <c r="J48" s="25">
        <f t="shared" si="46"/>
        <v>0.87866358530127486</v>
      </c>
    </row>
    <row r="49" spans="1:14" ht="16" thickTop="1" x14ac:dyDescent="0.2">
      <c r="F49" s="18">
        <f t="shared" si="45"/>
        <v>5.6999999999999975</v>
      </c>
      <c r="G49" s="1" t="s">
        <v>138</v>
      </c>
      <c r="H49" s="37">
        <f>H22/B55+B68</f>
        <v>50682.73301581596</v>
      </c>
      <c r="I49" s="37">
        <f t="shared" ref="I49:J49" si="47">I22/C55+C68</f>
        <v>63101.333506709663</v>
      </c>
      <c r="J49" s="37">
        <f t="shared" si="47"/>
        <v>65346.555910178955</v>
      </c>
      <c r="K49" t="s">
        <v>167</v>
      </c>
    </row>
    <row r="50" spans="1:14" x14ac:dyDescent="0.2">
      <c r="A50" t="s">
        <v>34</v>
      </c>
      <c r="F50" s="18">
        <f t="shared" si="45"/>
        <v>0.2</v>
      </c>
      <c r="G50" s="1" t="s">
        <v>128</v>
      </c>
      <c r="H50">
        <f>H38</f>
        <v>0.28292440929256851</v>
      </c>
      <c r="I50">
        <f t="shared" ref="I50:J50" si="48">I38</f>
        <v>0.26974205275183616</v>
      </c>
      <c r="J50">
        <f t="shared" si="48"/>
        <v>0.1772557180259843</v>
      </c>
    </row>
    <row r="51" spans="1:14" x14ac:dyDescent="0.2">
      <c r="A51" s="1" t="s">
        <v>35</v>
      </c>
      <c r="B51" s="12">
        <v>64115</v>
      </c>
      <c r="C51" s="12">
        <v>54763</v>
      </c>
      <c r="D51" s="12">
        <v>42296</v>
      </c>
      <c r="F51" s="18">
        <f t="shared" si="45"/>
        <v>5.7999999999999972</v>
      </c>
      <c r="G51" s="1" t="s">
        <v>139</v>
      </c>
      <c r="H51" s="38">
        <f>H52/H20</f>
        <v>19.416621489034092</v>
      </c>
      <c r="I51" s="38">
        <f t="shared" ref="I51:J51" si="49">I52/I20</f>
        <v>21.489140300915722</v>
      </c>
      <c r="J51" s="38">
        <f t="shared" si="49"/>
        <v>34.171133828092671</v>
      </c>
      <c r="K51" t="s">
        <v>168</v>
      </c>
    </row>
    <row r="52" spans="1:14" x14ac:dyDescent="0.2">
      <c r="A52" s="1" t="s">
        <v>36</v>
      </c>
      <c r="B52" s="12">
        <v>60845</v>
      </c>
      <c r="C52" s="12">
        <v>47493</v>
      </c>
      <c r="D52" s="12">
        <v>42684</v>
      </c>
      <c r="F52" s="18"/>
      <c r="G52" s="3" t="s">
        <v>140</v>
      </c>
      <c r="H52" s="41">
        <f>((138.2*B28)/1000)+B62-B36</f>
        <v>2534665.1857999996</v>
      </c>
      <c r="I52" s="41">
        <f t="shared" ref="I52:J52" si="50">((138.2*C28)/1000)+C62-C36</f>
        <v>2583703.8057999997</v>
      </c>
      <c r="J52" s="41">
        <f t="shared" si="50"/>
        <v>2642932.1747999997</v>
      </c>
      <c r="K52" t="s">
        <v>169</v>
      </c>
      <c r="L52" t="s">
        <v>152</v>
      </c>
    </row>
    <row r="53" spans="1:1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1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14" x14ac:dyDescent="0.2">
      <c r="A55" s="1" t="s">
        <v>39</v>
      </c>
      <c r="B55" s="12">
        <v>11128</v>
      </c>
      <c r="C55" s="12">
        <v>9613</v>
      </c>
      <c r="D55" s="12">
        <v>8773</v>
      </c>
      <c r="F55" s="17" t="s">
        <v>149</v>
      </c>
    </row>
    <row r="56" spans="1:14" x14ac:dyDescent="0.2">
      <c r="A56" s="8" t="s">
        <v>40</v>
      </c>
      <c r="B56" s="13">
        <f>+SUM(B51:B55)</f>
        <v>153982</v>
      </c>
      <c r="C56" s="13">
        <f t="shared" ref="C56:D56" si="51">+SUM(C51:C55)</f>
        <v>125481</v>
      </c>
      <c r="D56" s="13">
        <f t="shared" si="51"/>
        <v>105392</v>
      </c>
      <c r="N56" s="25"/>
    </row>
    <row r="57" spans="1:14" x14ac:dyDescent="0.2">
      <c r="A57" t="s">
        <v>51</v>
      </c>
      <c r="B57" s="12"/>
      <c r="C57" s="12"/>
      <c r="D57" s="12"/>
    </row>
    <row r="58" spans="1:14" x14ac:dyDescent="0.2">
      <c r="A58" s="1" t="s">
        <v>37</v>
      </c>
      <c r="B58" s="12"/>
      <c r="C58" s="12"/>
      <c r="D58" s="12"/>
      <c r="F58" s="1" t="s">
        <v>145</v>
      </c>
      <c r="H58" s="40">
        <f>(B8/C8)-1</f>
        <v>7.7937876041846099E-2</v>
      </c>
      <c r="I58" s="40">
        <f>(B7/C7)-1</f>
        <v>0.14181951041286078</v>
      </c>
      <c r="J58" s="40">
        <f>(B6/C6)-1</f>
        <v>6.3239764351428418E-2</v>
      </c>
      <c r="K58" s="40">
        <f>(C8/D8)-1</f>
        <v>0.33259384733074704</v>
      </c>
      <c r="L58" s="40">
        <f>(C7/D7)-1</f>
        <v>0.27259708376729663</v>
      </c>
      <c r="M58" s="40">
        <f>(C6/D6)-1</f>
        <v>0.34720743656765429</v>
      </c>
      <c r="N58" s="42"/>
    </row>
    <row r="59" spans="1:14" x14ac:dyDescent="0.2">
      <c r="A59" s="1" t="s">
        <v>39</v>
      </c>
      <c r="B59" s="12">
        <v>98959</v>
      </c>
      <c r="C59" s="12">
        <v>109106</v>
      </c>
      <c r="D59" s="12">
        <v>98667</v>
      </c>
      <c r="H59" s="38" t="s">
        <v>174</v>
      </c>
      <c r="I59" s="38" t="s">
        <v>175</v>
      </c>
      <c r="J59" s="38" t="s">
        <v>176</v>
      </c>
      <c r="K59" s="38" t="s">
        <v>177</v>
      </c>
      <c r="L59" s="38" t="s">
        <v>178</v>
      </c>
      <c r="M59" s="38" t="s">
        <v>179</v>
      </c>
      <c r="N59" s="42"/>
    </row>
    <row r="60" spans="1:14" x14ac:dyDescent="0.2">
      <c r="A60" s="1" t="s">
        <v>52</v>
      </c>
      <c r="B60" s="12">
        <v>49142</v>
      </c>
      <c r="C60" s="12">
        <v>53325</v>
      </c>
      <c r="D60" s="12">
        <v>54490</v>
      </c>
      <c r="H60" s="7">
        <v>2022</v>
      </c>
      <c r="I60" s="7">
        <v>2021</v>
      </c>
      <c r="N60" s="42"/>
    </row>
    <row r="61" spans="1:14" x14ac:dyDescent="0.2">
      <c r="A61" s="22" t="s">
        <v>53</v>
      </c>
      <c r="B61" s="21">
        <f>+B59+B60</f>
        <v>148101</v>
      </c>
      <c r="C61" s="21">
        <f t="shared" ref="C61:D61" si="52">+C59+C60</f>
        <v>162431</v>
      </c>
      <c r="D61" s="21">
        <f t="shared" si="52"/>
        <v>153157</v>
      </c>
      <c r="F61" s="1" t="s">
        <v>89</v>
      </c>
      <c r="H61" s="40">
        <f>(B22/C22)-1</f>
        <v>5.410857625686516E-2</v>
      </c>
      <c r="I61" s="40">
        <f>(C22/D22)-1</f>
        <v>0.64916131055024295</v>
      </c>
      <c r="K61" s="25" t="s">
        <v>170</v>
      </c>
      <c r="L61" s="25"/>
      <c r="N61" s="42"/>
    </row>
    <row r="62" spans="1:14" x14ac:dyDescent="0.2">
      <c r="A62" s="8" t="s">
        <v>41</v>
      </c>
      <c r="B62" s="13">
        <f>+B56+B61</f>
        <v>302083</v>
      </c>
      <c r="C62" s="13">
        <f t="shared" ref="C62:D62" si="53">+C56+C61</f>
        <v>287912</v>
      </c>
      <c r="D62" s="13">
        <f t="shared" si="53"/>
        <v>258549</v>
      </c>
      <c r="F62" s="1" t="s">
        <v>90</v>
      </c>
      <c r="H62" s="43">
        <v>2022</v>
      </c>
      <c r="I62" s="43">
        <v>2021</v>
      </c>
      <c r="L62" s="25"/>
      <c r="N62" s="42"/>
    </row>
    <row r="63" spans="1:14" ht="32" x14ac:dyDescent="0.2">
      <c r="B63" s="12"/>
      <c r="C63" s="12"/>
      <c r="D63" s="12"/>
      <c r="G63" s="7" t="s">
        <v>11</v>
      </c>
      <c r="H63" s="40">
        <f>(B15/C15)-1</f>
        <v>0.19791001186456136</v>
      </c>
      <c r="I63" s="40">
        <f>(C15/D15)-1</f>
        <v>0.16862201365187723</v>
      </c>
      <c r="K63" s="28" t="s">
        <v>171</v>
      </c>
      <c r="L63" s="25"/>
    </row>
    <row r="64" spans="1:14" x14ac:dyDescent="0.2">
      <c r="A64" t="s">
        <v>42</v>
      </c>
      <c r="B64" s="12"/>
      <c r="C64" s="12"/>
      <c r="D64" s="12"/>
      <c r="G64" s="11" t="s">
        <v>12</v>
      </c>
      <c r="H64" s="40">
        <f>(B16/C16)-1</f>
        <v>0.14203795567287125</v>
      </c>
      <c r="I64" s="40">
        <f>(C16/D16)-1</f>
        <v>0.10328379192608961</v>
      </c>
      <c r="L64" s="25"/>
    </row>
    <row r="65" spans="1:12" x14ac:dyDescent="0.2">
      <c r="A65" s="1" t="s">
        <v>54</v>
      </c>
      <c r="B65" s="12">
        <v>64849</v>
      </c>
      <c r="C65" s="12">
        <v>57365</v>
      </c>
      <c r="D65" s="12">
        <v>50779</v>
      </c>
      <c r="L65" s="25"/>
    </row>
    <row r="66" spans="1:12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12" x14ac:dyDescent="0.2">
      <c r="A67" s="1" t="s">
        <v>44</v>
      </c>
      <c r="B67" s="12">
        <v>-11109</v>
      </c>
      <c r="C67" s="12">
        <v>163</v>
      </c>
      <c r="D67" s="12">
        <v>-406</v>
      </c>
      <c r="F67" s="1" t="s">
        <v>91</v>
      </c>
      <c r="H67" s="43">
        <v>2022</v>
      </c>
      <c r="I67" s="43">
        <v>2021</v>
      </c>
      <c r="K67" s="25" t="s">
        <v>170</v>
      </c>
    </row>
    <row r="68" spans="1:12" x14ac:dyDescent="0.2">
      <c r="A68" s="8" t="s">
        <v>45</v>
      </c>
      <c r="B68" s="13">
        <f>+SUM(B65:B67)</f>
        <v>50672</v>
      </c>
      <c r="C68" s="13">
        <f t="shared" ref="C68:D68" si="54">+SUM(C65:C67)</f>
        <v>63090</v>
      </c>
      <c r="D68" s="13">
        <f t="shared" si="54"/>
        <v>65339</v>
      </c>
      <c r="F68" s="1"/>
      <c r="G68" t="s">
        <v>180</v>
      </c>
      <c r="H68" s="40">
        <f>(B48/C48)-1</f>
        <v>4.994273536902849E-3</v>
      </c>
      <c r="I68" s="40">
        <f>(C48/D48)-1</f>
        <v>8.3714123400681739E-2</v>
      </c>
      <c r="K68" s="25" t="s">
        <v>170</v>
      </c>
    </row>
    <row r="69" spans="1:12" ht="16" thickBot="1" x14ac:dyDescent="0.25">
      <c r="A69" s="9" t="s">
        <v>46</v>
      </c>
      <c r="B69" s="14">
        <f>+B68+B62</f>
        <v>352755</v>
      </c>
      <c r="C69" s="14">
        <f t="shared" ref="C69:D69" si="55">+C68+C62</f>
        <v>351002</v>
      </c>
      <c r="D69" s="14">
        <f t="shared" si="55"/>
        <v>323888</v>
      </c>
      <c r="F69" s="17"/>
      <c r="G69" t="s">
        <v>181</v>
      </c>
      <c r="H69" s="40">
        <f>(B62/C62)-1</f>
        <v>4.9219900525160565E-2</v>
      </c>
      <c r="I69" s="40">
        <f>(C62/D62)-1</f>
        <v>0.11356841449783217</v>
      </c>
      <c r="K69" s="25" t="s">
        <v>170</v>
      </c>
    </row>
    <row r="70" spans="1:12" ht="16" thickTop="1" x14ac:dyDescent="0.2">
      <c r="G70" t="s">
        <v>182</v>
      </c>
      <c r="H70" s="40">
        <f>(B68/C68)-1</f>
        <v>-0.19682992550324929</v>
      </c>
      <c r="I70" s="40">
        <f>(C68/D68)-1</f>
        <v>-3.4420483937617652E-2</v>
      </c>
    </row>
    <row r="71" spans="1:12" x14ac:dyDescent="0.2">
      <c r="A71" s="32" t="s">
        <v>55</v>
      </c>
      <c r="B71" s="32"/>
      <c r="C71" s="32"/>
      <c r="D71" s="32"/>
    </row>
    <row r="72" spans="1:12" x14ac:dyDescent="0.2">
      <c r="B72" s="31" t="s">
        <v>23</v>
      </c>
      <c r="C72" s="31"/>
      <c r="D72" s="31"/>
      <c r="F72" s="17" t="s">
        <v>92</v>
      </c>
    </row>
    <row r="73" spans="1:12" x14ac:dyDescent="0.2">
      <c r="B73" s="7">
        <f>+B33</f>
        <v>2022</v>
      </c>
      <c r="C73" s="7">
        <f t="shared" ref="C73:D73" si="56">+C33</f>
        <v>2021</v>
      </c>
      <c r="D73" s="7">
        <f t="shared" si="56"/>
        <v>2020</v>
      </c>
      <c r="F73" s="1" t="s">
        <v>146</v>
      </c>
      <c r="H73" s="29">
        <f>B12/B8</f>
        <v>0.56690369438639909</v>
      </c>
      <c r="I73" s="29">
        <f>C12/C8</f>
        <v>0.58220640374832222</v>
      </c>
      <c r="J73" s="29">
        <f>D12/D8</f>
        <v>0.61766752272189129</v>
      </c>
    </row>
    <row r="74" spans="1:12" x14ac:dyDescent="0.2">
      <c r="F74" s="1" t="s">
        <v>89</v>
      </c>
      <c r="H74" s="29">
        <f>B13/B8</f>
        <v>0.43309630561360085</v>
      </c>
      <c r="I74" s="29">
        <f>C13/C8</f>
        <v>0.41779359625167778</v>
      </c>
      <c r="J74" s="29">
        <f>D13/D8</f>
        <v>0.38233247727810865</v>
      </c>
    </row>
    <row r="75" spans="1:12" x14ac:dyDescent="0.2">
      <c r="A75" s="7" t="s">
        <v>56</v>
      </c>
      <c r="B75" s="15"/>
      <c r="C75" s="15"/>
      <c r="D75" s="15"/>
      <c r="F75" s="1" t="s">
        <v>90</v>
      </c>
      <c r="H75" s="29"/>
      <c r="I75" s="29"/>
      <c r="J75" s="29"/>
    </row>
    <row r="76" spans="1:12" x14ac:dyDescent="0.2">
      <c r="A76" t="s">
        <v>57</v>
      </c>
      <c r="B76" s="12">
        <f>+B22</f>
        <v>99803</v>
      </c>
      <c r="C76" s="12">
        <f t="shared" ref="C76:D76" si="57">+C22</f>
        <v>94680</v>
      </c>
      <c r="D76" s="12">
        <f t="shared" si="57"/>
        <v>57411</v>
      </c>
      <c r="F76" s="1" t="s">
        <v>11</v>
      </c>
      <c r="H76" s="29">
        <f>B15/B8</f>
        <v>6.657148363798665E-2</v>
      </c>
      <c r="I76" s="29">
        <f>C15/C8</f>
        <v>5.9904269074427925E-2</v>
      </c>
      <c r="J76" s="29">
        <f>D15/D8</f>
        <v>6.8309564140393061E-2</v>
      </c>
    </row>
    <row r="77" spans="1:12" x14ac:dyDescent="0.2">
      <c r="A77" s="11" t="s">
        <v>18</v>
      </c>
      <c r="B77" s="15"/>
      <c r="C77" s="15"/>
      <c r="D77" s="15"/>
      <c r="F77" s="1" t="s">
        <v>12</v>
      </c>
      <c r="H77" s="29">
        <f>B16/B8</f>
        <v>6.3637378020328261E-2</v>
      </c>
      <c r="I77" s="29">
        <f>C16/C8</f>
        <v>6.006555190163388E-2</v>
      </c>
      <c r="J77" s="29">
        <f>D16/D8</f>
        <v>7.2549769593646979E-2</v>
      </c>
    </row>
    <row r="78" spans="1:12" x14ac:dyDescent="0.2">
      <c r="A78" s="1" t="s">
        <v>58</v>
      </c>
      <c r="B78" s="12"/>
      <c r="C78" s="12"/>
      <c r="D78" s="12"/>
      <c r="H78" s="29"/>
      <c r="I78" s="29"/>
      <c r="J78" s="29"/>
    </row>
    <row r="79" spans="1:12" x14ac:dyDescent="0.2">
      <c r="A79" s="3" t="s">
        <v>59</v>
      </c>
      <c r="B79" s="12">
        <v>11104</v>
      </c>
      <c r="C79" s="12">
        <v>11284</v>
      </c>
      <c r="D79" s="12">
        <v>11056</v>
      </c>
      <c r="F79" s="1" t="s">
        <v>14</v>
      </c>
      <c r="H79" s="29">
        <f>B18/B8</f>
        <v>0.30288744395528594</v>
      </c>
      <c r="I79" s="29">
        <f>C18/C8</f>
        <v>0.29782377527561593</v>
      </c>
      <c r="J79" s="29">
        <f>D18/D8</f>
        <v>0.24147314354406862</v>
      </c>
    </row>
    <row r="80" spans="1:12" x14ac:dyDescent="0.2">
      <c r="A80" s="3" t="s">
        <v>83</v>
      </c>
      <c r="B80" s="12">
        <v>9038</v>
      </c>
      <c r="C80" s="12">
        <v>7906</v>
      </c>
      <c r="D80" s="12">
        <v>6829</v>
      </c>
      <c r="F80" s="1" t="s">
        <v>93</v>
      </c>
      <c r="H80" s="29">
        <f>B22/B8</f>
        <v>0.25309640705199732</v>
      </c>
      <c r="I80" s="29">
        <f>C22/C8</f>
        <v>0.25881793355694238</v>
      </c>
      <c r="J80" s="29">
        <f>D22/D8</f>
        <v>0.20913611278072236</v>
      </c>
    </row>
    <row r="81" spans="1:11" x14ac:dyDescent="0.2">
      <c r="A81" s="3" t="s">
        <v>60</v>
      </c>
      <c r="B81" s="12">
        <v>895</v>
      </c>
      <c r="C81" s="12">
        <v>-4774</v>
      </c>
      <c r="D81" s="12">
        <v>-215</v>
      </c>
      <c r="F81" s="1"/>
    </row>
    <row r="82" spans="1:11" x14ac:dyDescent="0.2">
      <c r="A82" s="3" t="s">
        <v>61</v>
      </c>
      <c r="B82" s="12">
        <v>111</v>
      </c>
      <c r="C82" s="12">
        <v>-147</v>
      </c>
      <c r="D82" s="12">
        <v>-97</v>
      </c>
      <c r="F82" s="17" t="s">
        <v>98</v>
      </c>
    </row>
    <row r="83" spans="1:11" x14ac:dyDescent="0.2">
      <c r="A83" t="s">
        <v>62</v>
      </c>
      <c r="B83" s="12"/>
      <c r="C83" s="12"/>
      <c r="D83" s="12"/>
      <c r="F83" s="1" t="s">
        <v>94</v>
      </c>
      <c r="H83" s="44">
        <f>B113/B91</f>
        <v>0.16023610121898307</v>
      </c>
      <c r="I83" s="44">
        <f>C113/C91</f>
        <v>0.24399738557065687</v>
      </c>
      <c r="J83" s="44">
        <f>D113/D91</f>
        <v>0.11777028534596029</v>
      </c>
    </row>
    <row r="84" spans="1:11" x14ac:dyDescent="0.2">
      <c r="A84" s="1" t="s">
        <v>28</v>
      </c>
      <c r="B84" s="12">
        <v>-1823</v>
      </c>
      <c r="C84" s="12">
        <v>-10125</v>
      </c>
      <c r="D84" s="12">
        <v>6917</v>
      </c>
      <c r="F84" s="1" t="s">
        <v>95</v>
      </c>
      <c r="H84" s="45">
        <f>B96/B8</f>
        <v>-2.7155058732831552E-2</v>
      </c>
      <c r="I84" s="45">
        <f t="shared" ref="I84:J84" si="58">C96/C8</f>
        <v>-3.0302036264033657E-2</v>
      </c>
      <c r="J84" s="45">
        <f t="shared" si="58"/>
        <v>-2.6625138881299748E-2</v>
      </c>
      <c r="K84" t="s">
        <v>172</v>
      </c>
    </row>
    <row r="85" spans="1:11" x14ac:dyDescent="0.2">
      <c r="A85" s="1" t="s">
        <v>29</v>
      </c>
      <c r="B85" s="12">
        <v>1484</v>
      </c>
      <c r="C85" s="12">
        <v>-2642</v>
      </c>
      <c r="D85" s="12">
        <v>-127</v>
      </c>
      <c r="F85" s="1" t="s">
        <v>96</v>
      </c>
      <c r="H85" s="45">
        <f>B96/B45</f>
        <v>-0.25424412944891611</v>
      </c>
      <c r="I85" s="45">
        <f t="shared" ref="I85:J85" si="59">C96/C45</f>
        <v>-0.28105983772819471</v>
      </c>
      <c r="J85" s="45">
        <f t="shared" si="59"/>
        <v>-0.19879780231735844</v>
      </c>
      <c r="K85" t="s">
        <v>172</v>
      </c>
    </row>
    <row r="86" spans="1:11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11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11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11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11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11" x14ac:dyDescent="0.2">
      <c r="A91" s="8" t="s">
        <v>63</v>
      </c>
      <c r="B91" s="13">
        <f>+SUM(B76:B90)</f>
        <v>122151</v>
      </c>
      <c r="C91" s="13">
        <f t="shared" ref="C91:D91" si="60">+SUM(C76:C90)</f>
        <v>104038</v>
      </c>
      <c r="D91" s="13">
        <f t="shared" si="60"/>
        <v>80674</v>
      </c>
    </row>
    <row r="92" spans="1:11" x14ac:dyDescent="0.2">
      <c r="A92" s="7" t="s">
        <v>64</v>
      </c>
      <c r="B92" s="12"/>
      <c r="C92" s="12"/>
      <c r="D92" s="12"/>
    </row>
    <row r="93" spans="1:11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11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11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11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61">+SUM(C93:C98)</f>
        <v>-14545</v>
      </c>
      <c r="D99" s="13">
        <f t="shared" si="61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62">+SUM(C101:C107)</f>
        <v>-93353</v>
      </c>
      <c r="D108" s="13">
        <f t="shared" si="62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63">+C91+C99+C108</f>
        <v>-3860</v>
      </c>
      <c r="D109" s="13">
        <f t="shared" si="63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hyperlinks>
    <hyperlink ref="L41" r:id="rId1" xr:uid="{747FBA64-4A30-8647-8644-F0BA6FE51187}"/>
    <hyperlink ref="L43" r:id="rId2" xr:uid="{BDBF06AB-CAE4-7546-A725-B7831717FC2C}"/>
    <hyperlink ref="L47" r:id="rId3" xr:uid="{4303BCF8-3CEA-7749-A52B-9610A866713E}"/>
    <hyperlink ref="L46" r:id="rId4" xr:uid="{4BB2DD6A-8FE3-0F4A-95DF-EAA1A26B2864}"/>
    <hyperlink ref="L45" r:id="rId5" xr:uid="{18878C2D-7321-DE41-9A72-96E0A37ADF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47" workbookViewId="0">
      <selection activeCell="C5" sqref="C5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1" t="s">
        <v>23</v>
      </c>
      <c r="D2" s="31"/>
      <c r="E2" s="31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G5" s="24"/>
    </row>
    <row r="6" spans="1:10" x14ac:dyDescent="0.2">
      <c r="A6" s="18">
        <f t="shared" ref="A6:A13" si="0">+A5+0.1</f>
        <v>1.2000000000000002</v>
      </c>
      <c r="B6" s="1" t="s">
        <v>101</v>
      </c>
    </row>
    <row r="7" spans="1:10" x14ac:dyDescent="0.2">
      <c r="A7" s="18">
        <f t="shared" si="0"/>
        <v>1.3000000000000003</v>
      </c>
      <c r="B7" s="1" t="s">
        <v>102</v>
      </c>
    </row>
    <row r="8" spans="1:10" x14ac:dyDescent="0.2">
      <c r="A8" s="18">
        <f t="shared" si="0"/>
        <v>1.4000000000000004</v>
      </c>
      <c r="B8" s="1" t="s">
        <v>103</v>
      </c>
    </row>
    <row r="9" spans="1:10" x14ac:dyDescent="0.2">
      <c r="A9" s="18">
        <f t="shared" si="0"/>
        <v>1.5000000000000004</v>
      </c>
      <c r="B9" s="1" t="s">
        <v>104</v>
      </c>
    </row>
    <row r="10" spans="1:10" x14ac:dyDescent="0.2">
      <c r="A10" s="18">
        <f t="shared" si="0"/>
        <v>1.6000000000000005</v>
      </c>
      <c r="B10" s="1" t="s">
        <v>105</v>
      </c>
    </row>
    <row r="11" spans="1:10" x14ac:dyDescent="0.2">
      <c r="A11" s="18">
        <f t="shared" si="0"/>
        <v>1.7000000000000006</v>
      </c>
      <c r="B11" s="1" t="s">
        <v>106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2" x14ac:dyDescent="0.2">
      <c r="A17" s="18">
        <f>+A16+0.1</f>
        <v>2.1</v>
      </c>
      <c r="B17" s="1" t="s">
        <v>9</v>
      </c>
    </row>
    <row r="18" spans="1:2" x14ac:dyDescent="0.2">
      <c r="A18" s="18">
        <f>+A17+0.1</f>
        <v>2.2000000000000002</v>
      </c>
      <c r="B18" s="1" t="s">
        <v>111</v>
      </c>
    </row>
    <row r="19" spans="1:2" x14ac:dyDescent="0.2">
      <c r="A19" s="18"/>
      <c r="B19" s="3" t="s">
        <v>112</v>
      </c>
    </row>
    <row r="20" spans="1:2" x14ac:dyDescent="0.2">
      <c r="A20" s="18">
        <f>+A18+0.1</f>
        <v>2.3000000000000003</v>
      </c>
      <c r="B20" s="1" t="s">
        <v>113</v>
      </c>
    </row>
    <row r="21" spans="1:2" x14ac:dyDescent="0.2">
      <c r="A21" s="18"/>
      <c r="B21" s="3" t="s">
        <v>114</v>
      </c>
    </row>
    <row r="22" spans="1:2" x14ac:dyDescent="0.2">
      <c r="A22" s="18">
        <f>+A20+0.1</f>
        <v>2.4000000000000004</v>
      </c>
      <c r="B22" s="1" t="s">
        <v>115</v>
      </c>
    </row>
    <row r="23" spans="1:2" x14ac:dyDescent="0.2">
      <c r="A23" s="18"/>
    </row>
    <row r="24" spans="1:2" x14ac:dyDescent="0.2">
      <c r="A24" s="18">
        <f>+A16+1</f>
        <v>3</v>
      </c>
      <c r="B24" s="7" t="s">
        <v>116</v>
      </c>
    </row>
    <row r="25" spans="1:2" x14ac:dyDescent="0.2">
      <c r="A25" s="18">
        <f>+A24+0.1</f>
        <v>3.1</v>
      </c>
      <c r="B25" s="1" t="s">
        <v>117</v>
      </c>
    </row>
    <row r="26" spans="1:2" x14ac:dyDescent="0.2">
      <c r="A26" s="18">
        <f t="shared" ref="A26:A30" si="1">+A25+0.1</f>
        <v>3.2</v>
      </c>
      <c r="B26" s="1" t="s">
        <v>118</v>
      </c>
    </row>
    <row r="27" spans="1:2" x14ac:dyDescent="0.2">
      <c r="A27" s="18">
        <f t="shared" si="1"/>
        <v>3.3000000000000003</v>
      </c>
      <c r="B27" s="1" t="s">
        <v>119</v>
      </c>
    </row>
    <row r="28" spans="1:2" x14ac:dyDescent="0.2">
      <c r="A28" s="18">
        <f t="shared" si="1"/>
        <v>3.4000000000000004</v>
      </c>
      <c r="B28" s="1" t="s">
        <v>120</v>
      </c>
    </row>
    <row r="29" spans="1:2" x14ac:dyDescent="0.2">
      <c r="A29" s="18">
        <f t="shared" si="1"/>
        <v>3.5000000000000004</v>
      </c>
      <c r="B29" s="1" t="s">
        <v>121</v>
      </c>
    </row>
    <row r="30" spans="1:2" x14ac:dyDescent="0.2">
      <c r="A30" s="18">
        <f t="shared" si="1"/>
        <v>3.6000000000000005</v>
      </c>
      <c r="B30" s="1" t="s">
        <v>122</v>
      </c>
    </row>
    <row r="31" spans="1:2" x14ac:dyDescent="0.2">
      <c r="A31" s="18"/>
      <c r="B31" s="3" t="s">
        <v>123</v>
      </c>
    </row>
    <row r="32" spans="1:2" x14ac:dyDescent="0.2">
      <c r="A32" s="18"/>
    </row>
    <row r="33" spans="1:2" x14ac:dyDescent="0.2">
      <c r="A33" s="18">
        <f>+A24+1</f>
        <v>4</v>
      </c>
      <c r="B33" s="17" t="s">
        <v>124</v>
      </c>
    </row>
    <row r="34" spans="1:2" x14ac:dyDescent="0.2">
      <c r="A34" s="18">
        <f>+A33+0.1</f>
        <v>4.0999999999999996</v>
      </c>
      <c r="B34" s="1" t="s">
        <v>125</v>
      </c>
    </row>
    <row r="35" spans="1:2" x14ac:dyDescent="0.2">
      <c r="A35" s="18">
        <f t="shared" ref="A35:A37" si="2">+A34+0.1</f>
        <v>4.1999999999999993</v>
      </c>
      <c r="B35" s="1" t="s">
        <v>126</v>
      </c>
    </row>
    <row r="36" spans="1:2" x14ac:dyDescent="0.2">
      <c r="A36" s="18">
        <f t="shared" si="2"/>
        <v>4.2999999999999989</v>
      </c>
      <c r="B36" s="1" t="s">
        <v>127</v>
      </c>
    </row>
    <row r="37" spans="1:2" x14ac:dyDescent="0.2">
      <c r="A37" s="18">
        <f t="shared" si="2"/>
        <v>4.3999999999999986</v>
      </c>
      <c r="B37" s="1" t="s">
        <v>128</v>
      </c>
    </row>
    <row r="38" spans="1:2" x14ac:dyDescent="0.2">
      <c r="A38" s="18"/>
    </row>
    <row r="39" spans="1:2" x14ac:dyDescent="0.2">
      <c r="A39" s="18">
        <f>+A33+1</f>
        <v>5</v>
      </c>
      <c r="B39" s="17" t="s">
        <v>129</v>
      </c>
    </row>
    <row r="40" spans="1:2" x14ac:dyDescent="0.2">
      <c r="A40" s="18">
        <f>+A39+0.1</f>
        <v>5.0999999999999996</v>
      </c>
      <c r="B40" s="1" t="s">
        <v>130</v>
      </c>
    </row>
    <row r="41" spans="1:2" x14ac:dyDescent="0.2">
      <c r="A41" s="18">
        <f t="shared" ref="A41:A44" si="3">+A40+0.1</f>
        <v>5.1999999999999993</v>
      </c>
      <c r="B41" s="3" t="s">
        <v>131</v>
      </c>
    </row>
    <row r="42" spans="1:2" x14ac:dyDescent="0.2">
      <c r="A42" s="18">
        <f t="shared" si="3"/>
        <v>5.2999999999999989</v>
      </c>
      <c r="B42" s="1" t="s">
        <v>132</v>
      </c>
    </row>
    <row r="43" spans="1:2" x14ac:dyDescent="0.2">
      <c r="A43" s="18">
        <f t="shared" si="3"/>
        <v>5.3999999999999986</v>
      </c>
      <c r="B43" s="3" t="s">
        <v>133</v>
      </c>
    </row>
    <row r="44" spans="1:2" x14ac:dyDescent="0.2">
      <c r="A44" s="18">
        <f t="shared" si="3"/>
        <v>5.4999999999999982</v>
      </c>
      <c r="B44" s="1" t="s">
        <v>134</v>
      </c>
    </row>
    <row r="45" spans="1:2" x14ac:dyDescent="0.2">
      <c r="A45" s="18"/>
      <c r="B45" s="3" t="s">
        <v>135</v>
      </c>
    </row>
    <row r="46" spans="1:2" x14ac:dyDescent="0.2">
      <c r="A46" s="18">
        <f>+A44+0.1</f>
        <v>5.5999999999999979</v>
      </c>
      <c r="B46" s="1" t="s">
        <v>136</v>
      </c>
    </row>
    <row r="47" spans="1:2" x14ac:dyDescent="0.2">
      <c r="A47" s="18">
        <f t="shared" ref="A47:A50" si="4">+A45+0.1</f>
        <v>0.1</v>
      </c>
      <c r="B47" s="1" t="s">
        <v>137</v>
      </c>
    </row>
    <row r="48" spans="1:2" x14ac:dyDescent="0.2">
      <c r="A48" s="18">
        <f t="shared" si="4"/>
        <v>5.6999999999999975</v>
      </c>
      <c r="B48" s="1" t="s">
        <v>138</v>
      </c>
    </row>
    <row r="49" spans="1:2" x14ac:dyDescent="0.2">
      <c r="A49" s="18">
        <f t="shared" si="4"/>
        <v>0.2</v>
      </c>
      <c r="B49" s="1" t="s">
        <v>128</v>
      </c>
    </row>
    <row r="50" spans="1:2" x14ac:dyDescent="0.2">
      <c r="A50" s="18">
        <f t="shared" si="4"/>
        <v>5.7999999999999972</v>
      </c>
      <c r="B50" s="1" t="s">
        <v>139</v>
      </c>
    </row>
    <row r="51" spans="1:2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2020-05-18T16:32:37Z</dcterms:created>
  <dcterms:modified xsi:type="dcterms:W3CDTF">2024-01-10T01:42:30Z</dcterms:modified>
</cp:coreProperties>
</file>