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docs.live.net/348c18b44a40d55c/Documents/Quil capital/"/>
    </mc:Choice>
  </mc:AlternateContent>
  <xr:revisionPtr revIDLastSave="604" documentId="8_{1553C3F7-6037-43C4-82E9-F13B8A0BF23F}" xr6:coauthVersionLast="47" xr6:coauthVersionMax="47" xr10:uidLastSave="{E9A1282F-EE59-4B0D-A276-80341F6CFA5E}"/>
  <bookViews>
    <workbookView xWindow="13770" yWindow="0" windowWidth="15135" windowHeight="15585" firstSheet="1"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4" l="1"/>
  <c r="D81" i="4"/>
  <c r="E81" i="4"/>
  <c r="F81" i="4"/>
  <c r="G81" i="4"/>
  <c r="H81" i="4"/>
  <c r="I81" i="4"/>
  <c r="J81" i="4"/>
  <c r="K81" i="4"/>
  <c r="L81" i="4"/>
  <c r="M81" i="4"/>
  <c r="N81" i="4"/>
  <c r="B80" i="4"/>
  <c r="L22" i="4"/>
  <c r="M22" i="4"/>
  <c r="N22" i="4"/>
  <c r="K22" i="4"/>
  <c r="K80" i="4"/>
  <c r="J45" i="4"/>
  <c r="I45" i="4"/>
  <c r="H45" i="4"/>
  <c r="K45" i="4"/>
  <c r="L45" i="4"/>
  <c r="M45" i="4"/>
  <c r="N45" i="4"/>
  <c r="G45" i="4"/>
  <c r="C45" i="4"/>
  <c r="D45" i="4"/>
  <c r="E45" i="4"/>
  <c r="F45" i="4"/>
  <c r="B45" i="4"/>
  <c r="L44" i="4"/>
  <c r="M44" i="4" s="1"/>
  <c r="K44" i="4"/>
  <c r="K43" i="4"/>
  <c r="L43" i="4"/>
  <c r="M43" i="4"/>
  <c r="N43" i="4"/>
  <c r="J43" i="4"/>
  <c r="C40" i="4"/>
  <c r="D40" i="4"/>
  <c r="E40" i="4"/>
  <c r="F40" i="4"/>
  <c r="G40" i="4"/>
  <c r="H40" i="4"/>
  <c r="I40" i="4"/>
  <c r="J40" i="4"/>
  <c r="B40" i="4"/>
  <c r="N38" i="4"/>
  <c r="M38" i="4"/>
  <c r="L38" i="4"/>
  <c r="K38" i="4"/>
  <c r="J38" i="4"/>
  <c r="J44" i="4"/>
  <c r="N42" i="4"/>
  <c r="M42" i="4"/>
  <c r="L42" i="4"/>
  <c r="K42" i="4"/>
  <c r="J42" i="4"/>
  <c r="O42" i="4"/>
  <c r="C42" i="4"/>
  <c r="D42" i="4"/>
  <c r="E42" i="4"/>
  <c r="F42" i="4"/>
  <c r="G42" i="4"/>
  <c r="H42" i="4"/>
  <c r="I42" i="4"/>
  <c r="B42" i="4"/>
  <c r="I35" i="4"/>
  <c r="J35" i="4" s="1"/>
  <c r="K35" i="4" s="1"/>
  <c r="L35" i="4" s="1"/>
  <c r="M35" i="4" s="1"/>
  <c r="N35" i="4" s="1"/>
  <c r="H35" i="4"/>
  <c r="G35" i="4"/>
  <c r="F35" i="4"/>
  <c r="E35" i="4"/>
  <c r="D35" i="4"/>
  <c r="C35" i="4"/>
  <c r="B35" i="4"/>
  <c r="C31" i="4"/>
  <c r="D31" i="4"/>
  <c r="E31" i="4"/>
  <c r="F31" i="4"/>
  <c r="G31" i="4"/>
  <c r="H31" i="4"/>
  <c r="I31" i="4"/>
  <c r="C26" i="4"/>
  <c r="D26" i="4"/>
  <c r="E26" i="4"/>
  <c r="F26" i="4"/>
  <c r="G26" i="4"/>
  <c r="H26" i="4"/>
  <c r="I26" i="4"/>
  <c r="J26" i="4" s="1"/>
  <c r="K26" i="4" s="1"/>
  <c r="L26" i="4" s="1"/>
  <c r="M26" i="4" s="1"/>
  <c r="N26" i="4" s="1"/>
  <c r="B26" i="4"/>
  <c r="C23" i="4"/>
  <c r="D23" i="4"/>
  <c r="E23" i="4"/>
  <c r="F23" i="4"/>
  <c r="G23" i="4"/>
  <c r="J23" i="4" s="1"/>
  <c r="H23" i="4"/>
  <c r="I23" i="4"/>
  <c r="B23" i="4"/>
  <c r="K74" i="4"/>
  <c r="L74" i="4" s="1"/>
  <c r="M74" i="4" s="1"/>
  <c r="N74" i="4" s="1"/>
  <c r="J74" i="4"/>
  <c r="G74" i="4"/>
  <c r="H74" i="4"/>
  <c r="I74" i="4"/>
  <c r="F74" i="4"/>
  <c r="C74" i="4"/>
  <c r="D74" i="4"/>
  <c r="E74" i="4"/>
  <c r="B74" i="4"/>
  <c r="E73" i="4"/>
  <c r="F73" i="4"/>
  <c r="J73" i="4" s="1"/>
  <c r="H73" i="4"/>
  <c r="I73" i="4"/>
  <c r="B73" i="4"/>
  <c r="G72" i="4"/>
  <c r="H72" i="4"/>
  <c r="I72" i="4"/>
  <c r="J72" i="4" s="1"/>
  <c r="K72" i="4" s="1"/>
  <c r="L72" i="4" s="1"/>
  <c r="M72" i="4" s="1"/>
  <c r="N72" i="4" s="1"/>
  <c r="F72" i="4"/>
  <c r="C72" i="4"/>
  <c r="C75" i="4" s="1"/>
  <c r="D72" i="4"/>
  <c r="E72" i="4"/>
  <c r="B72" i="4"/>
  <c r="G70" i="4"/>
  <c r="H70" i="4"/>
  <c r="I70" i="4"/>
  <c r="F70" i="4"/>
  <c r="C70" i="4"/>
  <c r="D70" i="4"/>
  <c r="E70" i="4"/>
  <c r="B70" i="4"/>
  <c r="C69" i="4"/>
  <c r="D69" i="4"/>
  <c r="E69" i="4"/>
  <c r="F69" i="4"/>
  <c r="G69" i="4"/>
  <c r="H69" i="4"/>
  <c r="I69" i="4"/>
  <c r="J69" i="4"/>
  <c r="K69" i="4"/>
  <c r="L69" i="4"/>
  <c r="M69" i="4"/>
  <c r="N69" i="4"/>
  <c r="B69" i="4"/>
  <c r="C66" i="4"/>
  <c r="D66" i="4"/>
  <c r="C65" i="4"/>
  <c r="D65" i="4"/>
  <c r="E65" i="4"/>
  <c r="E66" i="4" s="1"/>
  <c r="F65" i="4"/>
  <c r="F66" i="4" s="1"/>
  <c r="G65" i="4"/>
  <c r="H65" i="4"/>
  <c r="H66" i="4" s="1"/>
  <c r="I65" i="4"/>
  <c r="I66" i="4" s="1"/>
  <c r="B65" i="4"/>
  <c r="B66" i="4" s="1"/>
  <c r="B77" i="1"/>
  <c r="C64" i="4"/>
  <c r="D64" i="4"/>
  <c r="E64" i="4"/>
  <c r="F64" i="4"/>
  <c r="G64" i="4"/>
  <c r="H64" i="4"/>
  <c r="I64" i="4"/>
  <c r="J64" i="4"/>
  <c r="K64" i="4"/>
  <c r="L64" i="4"/>
  <c r="M64" i="4"/>
  <c r="N64" i="4"/>
  <c r="B64" i="4"/>
  <c r="O72" i="4"/>
  <c r="O54" i="4"/>
  <c r="O52" i="4"/>
  <c r="O36" i="4"/>
  <c r="O26" i="4"/>
  <c r="O22" i="4"/>
  <c r="Q21" i="4"/>
  <c r="R21" i="4"/>
  <c r="S21" i="4"/>
  <c r="T21" i="4"/>
  <c r="U21" i="4"/>
  <c r="V21" i="4"/>
  <c r="W21" i="4"/>
  <c r="P21" i="4"/>
  <c r="C10" i="4"/>
  <c r="D10" i="4"/>
  <c r="E10" i="4"/>
  <c r="F10" i="4"/>
  <c r="G10" i="4"/>
  <c r="H10" i="4"/>
  <c r="I10" i="4"/>
  <c r="B10" i="4"/>
  <c r="C7" i="4"/>
  <c r="D7" i="4"/>
  <c r="E7" i="4"/>
  <c r="F7" i="4"/>
  <c r="G7" i="4"/>
  <c r="H7" i="4"/>
  <c r="I7" i="4"/>
  <c r="B7" i="4"/>
  <c r="B8" i="4" s="1"/>
  <c r="C6" i="4"/>
  <c r="D6" i="4"/>
  <c r="E6" i="4"/>
  <c r="F6" i="4"/>
  <c r="G6" i="4"/>
  <c r="H6" i="4"/>
  <c r="I6" i="4"/>
  <c r="B6" i="4"/>
  <c r="C5" i="4"/>
  <c r="D5" i="4"/>
  <c r="E5" i="4"/>
  <c r="F5" i="4"/>
  <c r="G5" i="4"/>
  <c r="H5" i="4"/>
  <c r="I5" i="4"/>
  <c r="B5" i="4"/>
  <c r="N44" i="4" l="1"/>
  <c r="K65" i="4"/>
  <c r="K66" i="4" s="1"/>
  <c r="K23" i="4"/>
  <c r="L23" i="4" s="1"/>
  <c r="J65" i="4"/>
  <c r="J66" i="4" s="1"/>
  <c r="L65" i="4"/>
  <c r="L66" i="4" s="1"/>
  <c r="M65" i="4"/>
  <c r="M66" i="4" s="1"/>
  <c r="G66" i="4"/>
  <c r="M23" i="4"/>
  <c r="N23" i="4" s="1"/>
  <c r="K73" i="4"/>
  <c r="N65" i="4" l="1"/>
  <c r="L73" i="4"/>
  <c r="N66" i="4"/>
  <c r="M73" i="4" l="1"/>
  <c r="N73" i="4" s="1"/>
  <c r="C3" i="4" l="1"/>
  <c r="D3" i="4"/>
  <c r="E3" i="4"/>
  <c r="F3" i="4"/>
  <c r="G3" i="4"/>
  <c r="H3" i="4"/>
  <c r="I3" i="4"/>
  <c r="I4" i="4" s="1"/>
  <c r="J4" i="4" s="1"/>
  <c r="B3" i="4"/>
  <c r="J8" i="4" l="1"/>
  <c r="J7" i="4" s="1"/>
  <c r="K4" i="4"/>
  <c r="J10" i="4"/>
  <c r="J5" i="4"/>
  <c r="K5" i="4" s="1"/>
  <c r="I78" i="4"/>
  <c r="H78" i="4"/>
  <c r="G78" i="4"/>
  <c r="F78" i="4"/>
  <c r="E78" i="4"/>
  <c r="D78" i="4"/>
  <c r="C78" i="4"/>
  <c r="B78" i="4"/>
  <c r="I76" i="4"/>
  <c r="H76" i="4"/>
  <c r="G76" i="4"/>
  <c r="F76" i="4"/>
  <c r="E76" i="4"/>
  <c r="D76" i="4"/>
  <c r="C76" i="4"/>
  <c r="B76" i="4"/>
  <c r="H14" i="4"/>
  <c r="G14" i="4"/>
  <c r="F14" i="4"/>
  <c r="E14" i="4"/>
  <c r="D14" i="4"/>
  <c r="C14" i="4"/>
  <c r="B14" i="4"/>
  <c r="I44" i="4"/>
  <c r="H44" i="4"/>
  <c r="G44" i="4"/>
  <c r="F44" i="4"/>
  <c r="E44" i="4"/>
  <c r="D44" i="4"/>
  <c r="C44" i="4"/>
  <c r="B44" i="4"/>
  <c r="I43" i="4"/>
  <c r="H43" i="4"/>
  <c r="G43" i="4"/>
  <c r="F43" i="4"/>
  <c r="E43" i="4"/>
  <c r="D43" i="4"/>
  <c r="C43" i="4"/>
  <c r="B43" i="4"/>
  <c r="I41" i="4"/>
  <c r="H41" i="4"/>
  <c r="G41" i="4"/>
  <c r="F41" i="4"/>
  <c r="E41" i="4"/>
  <c r="D41" i="4"/>
  <c r="C41" i="4"/>
  <c r="B41" i="4"/>
  <c r="I38" i="4"/>
  <c r="H38" i="4"/>
  <c r="G38" i="4"/>
  <c r="F38" i="4"/>
  <c r="E38" i="4"/>
  <c r="D38" i="4"/>
  <c r="C38" i="4"/>
  <c r="B38" i="4"/>
  <c r="I37" i="4"/>
  <c r="H37" i="4"/>
  <c r="G37" i="4"/>
  <c r="F37" i="4"/>
  <c r="E37" i="4"/>
  <c r="D37" i="4"/>
  <c r="C37" i="4"/>
  <c r="B37" i="4"/>
  <c r="I34" i="4"/>
  <c r="I33" i="4" s="1"/>
  <c r="H34" i="4"/>
  <c r="H33" i="4" s="1"/>
  <c r="G34" i="4"/>
  <c r="G33" i="4" s="1"/>
  <c r="F34" i="4"/>
  <c r="F33" i="4" s="1"/>
  <c r="E34" i="4"/>
  <c r="E33" i="4" s="1"/>
  <c r="D34" i="4"/>
  <c r="D33" i="4" s="1"/>
  <c r="C34" i="4"/>
  <c r="C33" i="4" s="1"/>
  <c r="B34" i="4"/>
  <c r="B33" i="4" s="1"/>
  <c r="I30" i="4"/>
  <c r="H30" i="4"/>
  <c r="G30" i="4"/>
  <c r="J30" i="4" s="1"/>
  <c r="F30" i="4"/>
  <c r="E30" i="4"/>
  <c r="D30" i="4"/>
  <c r="C30" i="4"/>
  <c r="B30" i="4"/>
  <c r="I29" i="4"/>
  <c r="H29" i="4"/>
  <c r="G29" i="4"/>
  <c r="F29" i="4"/>
  <c r="E29" i="4"/>
  <c r="D29" i="4"/>
  <c r="C29" i="4"/>
  <c r="B29" i="4"/>
  <c r="I28" i="4"/>
  <c r="H28" i="4"/>
  <c r="G28" i="4"/>
  <c r="F28" i="4"/>
  <c r="E28" i="4"/>
  <c r="D28" i="4"/>
  <c r="C28" i="4"/>
  <c r="B28" i="4"/>
  <c r="J28" i="4" s="1"/>
  <c r="I27" i="4"/>
  <c r="H27" i="4"/>
  <c r="G27" i="4"/>
  <c r="F27" i="4"/>
  <c r="E27" i="4"/>
  <c r="D27" i="4"/>
  <c r="C27" i="4"/>
  <c r="B27" i="4"/>
  <c r="I24" i="4"/>
  <c r="W24" i="4" s="1"/>
  <c r="H24" i="4"/>
  <c r="V24" i="4" s="1"/>
  <c r="G24" i="4"/>
  <c r="U24" i="4" s="1"/>
  <c r="F24" i="4"/>
  <c r="T24" i="4" s="1"/>
  <c r="E24" i="4"/>
  <c r="S24" i="4" s="1"/>
  <c r="D24" i="4"/>
  <c r="R24" i="4" s="1"/>
  <c r="C24" i="4"/>
  <c r="Q24" i="4" s="1"/>
  <c r="B24" i="4"/>
  <c r="P24" i="4" s="1"/>
  <c r="O24" i="4" s="1"/>
  <c r="I22" i="4"/>
  <c r="I32" i="4" s="1"/>
  <c r="H22" i="4"/>
  <c r="H32" i="4" s="1"/>
  <c r="G22" i="4"/>
  <c r="G32" i="4" s="1"/>
  <c r="F22" i="4"/>
  <c r="E22" i="4"/>
  <c r="E32" i="4" s="1"/>
  <c r="D22" i="4"/>
  <c r="D32" i="4" s="1"/>
  <c r="C22" i="4"/>
  <c r="B22" i="4"/>
  <c r="I19" i="4"/>
  <c r="J19" i="4" s="1"/>
  <c r="K19" i="4" s="1"/>
  <c r="L19" i="4" s="1"/>
  <c r="M19" i="4" s="1"/>
  <c r="N19" i="4" s="1"/>
  <c r="H19" i="4"/>
  <c r="G19" i="4"/>
  <c r="F19" i="4"/>
  <c r="E19" i="4"/>
  <c r="D19" i="4"/>
  <c r="C19" i="4"/>
  <c r="B19" i="4"/>
  <c r="I16" i="4"/>
  <c r="J16" i="4" s="1"/>
  <c r="K16" i="4" s="1"/>
  <c r="L16" i="4" s="1"/>
  <c r="M16" i="4" s="1"/>
  <c r="N16" i="4" s="1"/>
  <c r="H16" i="4"/>
  <c r="H18" i="4" s="1"/>
  <c r="G16" i="4"/>
  <c r="G18" i="4" s="1"/>
  <c r="F16" i="4"/>
  <c r="F18" i="4" s="1"/>
  <c r="E16" i="4"/>
  <c r="E18" i="4" s="1"/>
  <c r="D16" i="4"/>
  <c r="D18" i="4" s="1"/>
  <c r="C16" i="4"/>
  <c r="C18" i="4" s="1"/>
  <c r="B16" i="4"/>
  <c r="B18" i="4" s="1"/>
  <c r="I12" i="4"/>
  <c r="J12" i="4" s="1"/>
  <c r="H12" i="4"/>
  <c r="G12" i="4"/>
  <c r="F12" i="4"/>
  <c r="E12" i="4"/>
  <c r="D12" i="4"/>
  <c r="C12" i="4"/>
  <c r="B12" i="4"/>
  <c r="G9" i="4"/>
  <c r="F9" i="4"/>
  <c r="N6" i="4"/>
  <c r="M6" i="4"/>
  <c r="L6" i="4"/>
  <c r="K6" i="4"/>
  <c r="J6" i="4"/>
  <c r="J86" i="3"/>
  <c r="J87" i="3" s="1"/>
  <c r="J85" i="3"/>
  <c r="K84" i="3"/>
  <c r="K86" i="3" s="1"/>
  <c r="J84" i="3"/>
  <c r="J115" i="3" s="1"/>
  <c r="J83" i="3"/>
  <c r="J67" i="3"/>
  <c r="J66" i="3" s="1"/>
  <c r="J63" i="3"/>
  <c r="J62" i="3" s="1"/>
  <c r="J59" i="3"/>
  <c r="J60" i="3" s="1"/>
  <c r="J58" i="3"/>
  <c r="J55" i="3"/>
  <c r="J56" i="3" s="1"/>
  <c r="J54" i="3"/>
  <c r="J53" i="3"/>
  <c r="K53" i="3" s="1"/>
  <c r="J52" i="3"/>
  <c r="G19" i="3"/>
  <c r="F19" i="3"/>
  <c r="I17" i="3"/>
  <c r="H17" i="3"/>
  <c r="G17" i="3"/>
  <c r="F17" i="3"/>
  <c r="E17" i="3"/>
  <c r="D17" i="3"/>
  <c r="D19" i="3" s="1"/>
  <c r="C17" i="3"/>
  <c r="B17" i="3"/>
  <c r="I14" i="3"/>
  <c r="H14" i="3"/>
  <c r="G14" i="3"/>
  <c r="G16" i="3" s="1"/>
  <c r="F14" i="3"/>
  <c r="F16" i="3" s="1"/>
  <c r="E14" i="3"/>
  <c r="E15" i="3" s="1"/>
  <c r="D14" i="3"/>
  <c r="C14" i="3"/>
  <c r="B14" i="3"/>
  <c r="B15" i="3" s="1"/>
  <c r="I11" i="3"/>
  <c r="H11" i="3"/>
  <c r="G11" i="3"/>
  <c r="F11" i="3"/>
  <c r="E11" i="3"/>
  <c r="F12" i="3" s="1"/>
  <c r="D11" i="3"/>
  <c r="D12" i="3" s="1"/>
  <c r="C11" i="3"/>
  <c r="C12" i="3" s="1"/>
  <c r="B11" i="3"/>
  <c r="B12" i="3" s="1"/>
  <c r="I9" i="3"/>
  <c r="H9" i="3"/>
  <c r="G9" i="3"/>
  <c r="F9" i="3"/>
  <c r="I8" i="3"/>
  <c r="H8" i="3"/>
  <c r="G8" i="3"/>
  <c r="F8" i="3"/>
  <c r="E8" i="3"/>
  <c r="D8" i="3"/>
  <c r="D10" i="3" s="1"/>
  <c r="C8" i="3"/>
  <c r="C10" i="3" s="1"/>
  <c r="B8" i="3"/>
  <c r="B10" i="3" s="1"/>
  <c r="J6" i="3"/>
  <c r="K6" i="3" s="1"/>
  <c r="L6" i="3" s="1"/>
  <c r="M6" i="3" s="1"/>
  <c r="N6" i="3" s="1"/>
  <c r="I5" i="3"/>
  <c r="I7" i="3" s="1"/>
  <c r="H5" i="3"/>
  <c r="H7" i="3" s="1"/>
  <c r="G5" i="3"/>
  <c r="F5" i="3"/>
  <c r="E5" i="3"/>
  <c r="D5" i="3"/>
  <c r="C5" i="3"/>
  <c r="D6" i="3" s="1"/>
  <c r="B5" i="3"/>
  <c r="B6" i="3" s="1"/>
  <c r="K4" i="3"/>
  <c r="L4" i="3" s="1"/>
  <c r="M4" i="3" s="1"/>
  <c r="N4" i="3" s="1"/>
  <c r="D4" i="3"/>
  <c r="C4" i="3"/>
  <c r="B4" i="3"/>
  <c r="I3" i="3"/>
  <c r="H3" i="3"/>
  <c r="G3" i="3"/>
  <c r="G4" i="3" s="1"/>
  <c r="F3" i="3"/>
  <c r="F4" i="3" s="1"/>
  <c r="E3" i="3"/>
  <c r="E4" i="3" s="1"/>
  <c r="D3" i="3"/>
  <c r="C3" i="3"/>
  <c r="C7" i="3" s="1"/>
  <c r="B3" i="3"/>
  <c r="B7" i="3" s="1"/>
  <c r="G181" i="1"/>
  <c r="F181" i="1"/>
  <c r="E181" i="1"/>
  <c r="D181" i="1"/>
  <c r="C181" i="1"/>
  <c r="B181" i="1"/>
  <c r="I177" i="1"/>
  <c r="I180" i="1" s="1"/>
  <c r="I181" i="1" s="1"/>
  <c r="H177" i="1"/>
  <c r="H180" i="1" s="1"/>
  <c r="H181" i="1" s="1"/>
  <c r="E169" i="1"/>
  <c r="E170" i="1" s="1"/>
  <c r="D169" i="1"/>
  <c r="D170" i="1" s="1"/>
  <c r="C169" i="1"/>
  <c r="C170" i="1" s="1"/>
  <c r="B169" i="1"/>
  <c r="B170" i="1" s="1"/>
  <c r="I168" i="1"/>
  <c r="H168" i="1"/>
  <c r="G168" i="1"/>
  <c r="G169" i="1" s="1"/>
  <c r="G170" i="1" s="1"/>
  <c r="F168" i="1"/>
  <c r="F169" i="1" s="1"/>
  <c r="F170" i="1" s="1"/>
  <c r="E168" i="1"/>
  <c r="D168" i="1"/>
  <c r="C168" i="1"/>
  <c r="B168" i="1"/>
  <c r="I166" i="1"/>
  <c r="I169" i="1" s="1"/>
  <c r="I170" i="1" s="1"/>
  <c r="H166" i="1"/>
  <c r="H169" i="1" s="1"/>
  <c r="H170" i="1" s="1"/>
  <c r="H159" i="1"/>
  <c r="G159" i="1"/>
  <c r="F159" i="1"/>
  <c r="E159" i="1"/>
  <c r="D159" i="1"/>
  <c r="C159" i="1"/>
  <c r="B159" i="1"/>
  <c r="I158" i="1"/>
  <c r="I159" i="1" s="1"/>
  <c r="H158" i="1"/>
  <c r="I155" i="1"/>
  <c r="H155" i="1"/>
  <c r="G148" i="1"/>
  <c r="F148" i="1"/>
  <c r="E148" i="1"/>
  <c r="D148" i="1"/>
  <c r="C148" i="1"/>
  <c r="B148" i="1"/>
  <c r="I144" i="1"/>
  <c r="I147" i="1" s="1"/>
  <c r="I148" i="1" s="1"/>
  <c r="H144" i="1"/>
  <c r="H147" i="1" s="1"/>
  <c r="H148" i="1" s="1"/>
  <c r="G137" i="1"/>
  <c r="G136" i="1"/>
  <c r="F136" i="1"/>
  <c r="F137" i="1" s="1"/>
  <c r="E136" i="1"/>
  <c r="E137" i="1" s="1"/>
  <c r="D136" i="1"/>
  <c r="D137" i="1" s="1"/>
  <c r="C136" i="1"/>
  <c r="C137" i="1" s="1"/>
  <c r="B136" i="1"/>
  <c r="I130" i="1"/>
  <c r="H130" i="1"/>
  <c r="I129" i="1"/>
  <c r="I136" i="1" s="1"/>
  <c r="B137" i="1" s="1"/>
  <c r="G129" i="1"/>
  <c r="F129" i="1"/>
  <c r="E129" i="1"/>
  <c r="D129" i="1"/>
  <c r="C129" i="1"/>
  <c r="B129" i="1"/>
  <c r="I124" i="1"/>
  <c r="H124" i="1"/>
  <c r="I120" i="1"/>
  <c r="H120" i="1"/>
  <c r="I116" i="1"/>
  <c r="H116" i="1"/>
  <c r="I112" i="1"/>
  <c r="H112" i="1"/>
  <c r="H129" i="1" s="1"/>
  <c r="H136" i="1" s="1"/>
  <c r="H137" i="1" s="1"/>
  <c r="I97" i="1"/>
  <c r="H97" i="1"/>
  <c r="G97" i="1"/>
  <c r="F97" i="1"/>
  <c r="E97" i="1"/>
  <c r="D97" i="1"/>
  <c r="C97" i="1"/>
  <c r="B97" i="1"/>
  <c r="I86" i="1"/>
  <c r="H86" i="1"/>
  <c r="G86" i="1"/>
  <c r="F86" i="1"/>
  <c r="E86" i="1"/>
  <c r="D86" i="1"/>
  <c r="C86" i="1"/>
  <c r="C99" i="1" s="1"/>
  <c r="B86" i="1"/>
  <c r="B99" i="1" s="1"/>
  <c r="I77" i="1"/>
  <c r="I99" i="1" s="1"/>
  <c r="I101" i="1" s="1"/>
  <c r="H77" i="1"/>
  <c r="H99" i="1" s="1"/>
  <c r="H101" i="1" s="1"/>
  <c r="I100" i="1" s="1"/>
  <c r="G77" i="1"/>
  <c r="G99" i="1" s="1"/>
  <c r="F77" i="1"/>
  <c r="F99" i="1" s="1"/>
  <c r="E77" i="1"/>
  <c r="E99" i="1" s="1"/>
  <c r="D77" i="1"/>
  <c r="D99" i="1" s="1"/>
  <c r="C77" i="1"/>
  <c r="I65" i="1"/>
  <c r="H65" i="1"/>
  <c r="I59" i="1"/>
  <c r="H59" i="1"/>
  <c r="G59" i="1"/>
  <c r="F59" i="1"/>
  <c r="E59" i="1"/>
  <c r="D59" i="1"/>
  <c r="C59" i="1"/>
  <c r="B59" i="1"/>
  <c r="I46" i="1"/>
  <c r="I60" i="1" s="1"/>
  <c r="H46" i="1"/>
  <c r="G46" i="1"/>
  <c r="F46" i="1"/>
  <c r="E46" i="1"/>
  <c r="D46" i="1"/>
  <c r="C46" i="1"/>
  <c r="B46" i="1"/>
  <c r="I31" i="1"/>
  <c r="I37" i="1" s="1"/>
  <c r="H31" i="1"/>
  <c r="H37" i="1" s="1"/>
  <c r="G31" i="1"/>
  <c r="G37" i="1" s="1"/>
  <c r="F31" i="1"/>
  <c r="F37" i="1" s="1"/>
  <c r="E31" i="1"/>
  <c r="E37" i="1" s="1"/>
  <c r="D31" i="1"/>
  <c r="D37" i="1" s="1"/>
  <c r="C31" i="1"/>
  <c r="C37" i="1" s="1"/>
  <c r="B31" i="1"/>
  <c r="B37" i="1" s="1"/>
  <c r="I7" i="1"/>
  <c r="H7" i="1"/>
  <c r="G7" i="1"/>
  <c r="F7" i="1"/>
  <c r="E7" i="1"/>
  <c r="D7" i="1"/>
  <c r="C7" i="1"/>
  <c r="B7" i="1"/>
  <c r="I4" i="1"/>
  <c r="H4" i="1"/>
  <c r="G4" i="1"/>
  <c r="F4" i="1"/>
  <c r="E4" i="1"/>
  <c r="D4" i="1"/>
  <c r="C4" i="1"/>
  <c r="B4" i="1"/>
  <c r="B102" i="1"/>
  <c r="C102" i="1"/>
  <c r="D102" i="1"/>
  <c r="E102" i="1"/>
  <c r="F102" i="1"/>
  <c r="G102" i="1"/>
  <c r="K40" i="4" l="1"/>
  <c r="K28" i="4"/>
  <c r="L28" i="4" s="1"/>
  <c r="M28" i="4"/>
  <c r="N28" i="4"/>
  <c r="K30" i="4"/>
  <c r="L30" i="4" s="1"/>
  <c r="J76" i="4"/>
  <c r="K76" i="4"/>
  <c r="L76" i="4" s="1"/>
  <c r="F32" i="4"/>
  <c r="B32" i="4"/>
  <c r="C32" i="4"/>
  <c r="M76" i="4"/>
  <c r="N76" i="4" s="1"/>
  <c r="V37" i="4"/>
  <c r="J37" i="4" s="1"/>
  <c r="K37" i="4" s="1"/>
  <c r="L37" i="4" s="1"/>
  <c r="M37" i="4" s="1"/>
  <c r="N37" i="4" s="1"/>
  <c r="R31" i="4"/>
  <c r="S29" i="4"/>
  <c r="T27" i="4"/>
  <c r="R50" i="4"/>
  <c r="V31" i="4"/>
  <c r="W29" i="4"/>
  <c r="Q27" i="4"/>
  <c r="I14" i="4"/>
  <c r="R27" i="4"/>
  <c r="S27" i="4"/>
  <c r="V38" i="4"/>
  <c r="U31" i="4"/>
  <c r="S50" i="4"/>
  <c r="V29" i="4"/>
  <c r="T50" i="4"/>
  <c r="W31" i="4"/>
  <c r="V50" i="4"/>
  <c r="R29" i="4"/>
  <c r="S31" i="4"/>
  <c r="Q50" i="4"/>
  <c r="T31" i="4"/>
  <c r="U27" i="4"/>
  <c r="V27" i="4"/>
  <c r="W27" i="4"/>
  <c r="U50" i="4"/>
  <c r="W50" i="4"/>
  <c r="B75" i="4"/>
  <c r="K10" i="4"/>
  <c r="K12" i="4"/>
  <c r="L4" i="4"/>
  <c r="K8" i="4"/>
  <c r="K7" i="4"/>
  <c r="I25" i="4"/>
  <c r="D25" i="4"/>
  <c r="E25" i="4"/>
  <c r="I8" i="4"/>
  <c r="C9" i="4"/>
  <c r="H25" i="4"/>
  <c r="E8" i="4"/>
  <c r="D8" i="4"/>
  <c r="H4" i="4"/>
  <c r="F8" i="4"/>
  <c r="F75" i="4"/>
  <c r="G25" i="4"/>
  <c r="H11" i="4"/>
  <c r="H13" i="4" s="1"/>
  <c r="G8" i="4"/>
  <c r="G75" i="4"/>
  <c r="B81" i="4"/>
  <c r="F25" i="4"/>
  <c r="H8" i="4"/>
  <c r="H75" i="4"/>
  <c r="D75" i="4"/>
  <c r="E9" i="4"/>
  <c r="I9" i="4"/>
  <c r="I11" i="4"/>
  <c r="I13" i="4" s="1"/>
  <c r="F4" i="4"/>
  <c r="H9" i="4"/>
  <c r="E4" i="4"/>
  <c r="G4" i="4"/>
  <c r="C8" i="4"/>
  <c r="B9" i="4"/>
  <c r="G11" i="4"/>
  <c r="C4" i="4"/>
  <c r="C25" i="4"/>
  <c r="F11" i="4"/>
  <c r="E75" i="4"/>
  <c r="I75" i="4"/>
  <c r="I77" i="4" s="1"/>
  <c r="B4" i="4"/>
  <c r="B25" i="4"/>
  <c r="D9" i="4"/>
  <c r="D4" i="4"/>
  <c r="C11" i="4"/>
  <c r="D11" i="4"/>
  <c r="B11" i="4"/>
  <c r="E11" i="4"/>
  <c r="I18" i="4"/>
  <c r="B19" i="3"/>
  <c r="B18" i="3"/>
  <c r="K87" i="3"/>
  <c r="K90" i="3"/>
  <c r="K85" i="3"/>
  <c r="D15" i="3"/>
  <c r="C18" i="3"/>
  <c r="C19" i="3"/>
  <c r="C15" i="3"/>
  <c r="K83" i="3"/>
  <c r="L84" i="3"/>
  <c r="E19" i="3"/>
  <c r="J114" i="3"/>
  <c r="J117" i="3"/>
  <c r="K115" i="3"/>
  <c r="J146" i="3"/>
  <c r="H15" i="3"/>
  <c r="I16" i="3"/>
  <c r="I19" i="3"/>
  <c r="E10" i="3"/>
  <c r="J90" i="3"/>
  <c r="H4" i="3"/>
  <c r="H10" i="3"/>
  <c r="F15" i="3"/>
  <c r="E18" i="3"/>
  <c r="I4" i="3"/>
  <c r="I10" i="3"/>
  <c r="G15" i="3"/>
  <c r="H19" i="3"/>
  <c r="F10" i="3"/>
  <c r="C9" i="3"/>
  <c r="F18" i="3"/>
  <c r="G18" i="3"/>
  <c r="G13" i="3"/>
  <c r="D18" i="3"/>
  <c r="D9" i="3"/>
  <c r="G10" i="3"/>
  <c r="E7" i="3"/>
  <c r="E9" i="3"/>
  <c r="E12" i="3"/>
  <c r="H16" i="3"/>
  <c r="L53" i="3"/>
  <c r="K55" i="3"/>
  <c r="K52" i="3"/>
  <c r="E13" i="3"/>
  <c r="H12" i="3"/>
  <c r="C16" i="3"/>
  <c r="G6" i="3"/>
  <c r="F13" i="3"/>
  <c r="C6" i="3"/>
  <c r="I12" i="3"/>
  <c r="D16" i="3"/>
  <c r="D13" i="3"/>
  <c r="H6" i="3"/>
  <c r="E16" i="3"/>
  <c r="I15" i="3"/>
  <c r="F6" i="3"/>
  <c r="I6" i="3"/>
  <c r="J70" i="3"/>
  <c r="J64" i="3"/>
  <c r="B9" i="3"/>
  <c r="H18" i="3"/>
  <c r="C13" i="3"/>
  <c r="H13" i="3"/>
  <c r="G7" i="3"/>
  <c r="I13" i="3"/>
  <c r="B16" i="3"/>
  <c r="E6" i="3"/>
  <c r="G12" i="3"/>
  <c r="I18" i="3"/>
  <c r="B13" i="3"/>
  <c r="D7" i="3"/>
  <c r="F7" i="3"/>
  <c r="B60" i="1"/>
  <c r="D60" i="1"/>
  <c r="D61" i="1" s="1"/>
  <c r="D10" i="1"/>
  <c r="D12" i="1" s="1"/>
  <c r="D20" i="1" s="1"/>
  <c r="F10" i="1"/>
  <c r="F12" i="1" s="1"/>
  <c r="F20" i="1" s="1"/>
  <c r="F60" i="1"/>
  <c r="F61" i="1" s="1"/>
  <c r="G60" i="1"/>
  <c r="G61" i="1" s="1"/>
  <c r="C10" i="1"/>
  <c r="C12" i="1" s="1"/>
  <c r="C20" i="1" s="1"/>
  <c r="C60" i="1"/>
  <c r="C61" i="1" s="1"/>
  <c r="E10" i="1"/>
  <c r="E12" i="1" s="1"/>
  <c r="E20" i="1" s="1"/>
  <c r="E60" i="1"/>
  <c r="E61" i="1" s="1"/>
  <c r="G10" i="1"/>
  <c r="G12" i="1" s="1"/>
  <c r="G20" i="1" s="1"/>
  <c r="H10" i="1"/>
  <c r="H12" i="1" s="1"/>
  <c r="H20" i="1" s="1"/>
  <c r="H60" i="1"/>
  <c r="H61" i="1" s="1"/>
  <c r="I10" i="1"/>
  <c r="I12" i="1" s="1"/>
  <c r="B10" i="1"/>
  <c r="B12" i="1" s="1"/>
  <c r="B20" i="1" s="1"/>
  <c r="I61" i="1"/>
  <c r="I20" i="1"/>
  <c r="B61" i="1"/>
  <c r="L40" i="4" l="1"/>
  <c r="M30" i="4"/>
  <c r="N30" i="4"/>
  <c r="O29" i="4"/>
  <c r="J29" i="4" s="1"/>
  <c r="K29" i="4" s="1"/>
  <c r="L29" i="4" s="1"/>
  <c r="M29" i="4" s="1"/>
  <c r="N29" i="4" s="1"/>
  <c r="E46" i="4"/>
  <c r="O50" i="4"/>
  <c r="O27" i="4"/>
  <c r="J27" i="4" s="1"/>
  <c r="K27" i="4" s="1"/>
  <c r="L27" i="4" s="1"/>
  <c r="M27" i="4" s="1"/>
  <c r="N27" i="4" s="1"/>
  <c r="J14" i="4"/>
  <c r="L10" i="4"/>
  <c r="B77" i="4"/>
  <c r="B79" i="4" s="1"/>
  <c r="O31" i="4"/>
  <c r="J31" i="4" s="1"/>
  <c r="K31" i="4" s="1"/>
  <c r="L31" i="4" s="1"/>
  <c r="M31" i="4" s="1"/>
  <c r="N31" i="4" s="1"/>
  <c r="M4" i="4"/>
  <c r="L8" i="4"/>
  <c r="L7" i="4" s="1"/>
  <c r="L12" i="4"/>
  <c r="H46" i="4"/>
  <c r="K11" i="4"/>
  <c r="K13" i="4" s="1"/>
  <c r="L5" i="4"/>
  <c r="M5" i="4" s="1"/>
  <c r="F46" i="4"/>
  <c r="D77" i="4"/>
  <c r="D79" i="4" s="1"/>
  <c r="D80" i="4" s="1"/>
  <c r="G46" i="4"/>
  <c r="I79" i="4"/>
  <c r="H15" i="4"/>
  <c r="H17" i="4" s="1"/>
  <c r="B46" i="4"/>
  <c r="C46" i="4"/>
  <c r="C77" i="4"/>
  <c r="C79" i="4" s="1"/>
  <c r="C80" i="4" s="1"/>
  <c r="H77" i="4"/>
  <c r="H79" i="4" s="1"/>
  <c r="H80" i="4" s="1"/>
  <c r="E77" i="4"/>
  <c r="E79" i="4" s="1"/>
  <c r="E80" i="4" s="1"/>
  <c r="F77" i="4"/>
  <c r="F79" i="4" s="1"/>
  <c r="F80" i="4" s="1"/>
  <c r="I46" i="4"/>
  <c r="D46" i="4"/>
  <c r="G77" i="4"/>
  <c r="G79" i="4" s="1"/>
  <c r="G80" i="4" s="1"/>
  <c r="I15" i="4"/>
  <c r="I17" i="4" s="1"/>
  <c r="D13" i="4"/>
  <c r="D15" i="4"/>
  <c r="F13" i="4"/>
  <c r="F15" i="4"/>
  <c r="G13" i="4"/>
  <c r="G15" i="4"/>
  <c r="C13" i="4"/>
  <c r="C15" i="4"/>
  <c r="J18" i="4"/>
  <c r="J75" i="4" s="1"/>
  <c r="J77" i="4" s="1"/>
  <c r="E13" i="4"/>
  <c r="E15" i="4"/>
  <c r="B15" i="4"/>
  <c r="B13" i="4"/>
  <c r="J177" i="3"/>
  <c r="K146" i="3"/>
  <c r="J145" i="3"/>
  <c r="K145" i="3" s="1"/>
  <c r="J160" i="3"/>
  <c r="J116" i="3"/>
  <c r="J118" i="3"/>
  <c r="J121" i="3" s="1"/>
  <c r="M84" i="3"/>
  <c r="L86" i="3"/>
  <c r="J91" i="3"/>
  <c r="J89" i="3"/>
  <c r="K89" i="3" s="1"/>
  <c r="J94" i="3"/>
  <c r="L85" i="3"/>
  <c r="K117" i="3"/>
  <c r="K118" i="3" s="1"/>
  <c r="K121" i="3" s="1"/>
  <c r="K122" i="3" s="1"/>
  <c r="K125" i="3" s="1"/>
  <c r="K126" i="3" s="1"/>
  <c r="K129" i="3" s="1"/>
  <c r="K132" i="3" s="1"/>
  <c r="K136" i="3" s="1"/>
  <c r="K139" i="3" s="1"/>
  <c r="K142" i="3" s="1"/>
  <c r="L115" i="3"/>
  <c r="K91" i="3"/>
  <c r="K94" i="3"/>
  <c r="K95" i="3" s="1"/>
  <c r="K98" i="3" s="1"/>
  <c r="K101" i="3" s="1"/>
  <c r="K105" i="3" s="1"/>
  <c r="K108" i="3" s="1"/>
  <c r="K111" i="3" s="1"/>
  <c r="K114" i="3"/>
  <c r="L83" i="3"/>
  <c r="L52" i="3"/>
  <c r="J69" i="3"/>
  <c r="J74" i="3"/>
  <c r="M53" i="3"/>
  <c r="L55" i="3"/>
  <c r="K59" i="3"/>
  <c r="K56" i="3"/>
  <c r="K54" i="3"/>
  <c r="L54" i="3" s="1"/>
  <c r="H102" i="1"/>
  <c r="N40" i="4" l="1"/>
  <c r="M40" i="4"/>
  <c r="M10" i="4"/>
  <c r="I80" i="4"/>
  <c r="J78" i="4"/>
  <c r="L11" i="4"/>
  <c r="L13" i="4" s="1"/>
  <c r="M12" i="4"/>
  <c r="N4" i="4"/>
  <c r="N8" i="4" s="1"/>
  <c r="M8" i="4"/>
  <c r="M7" i="4" s="1"/>
  <c r="H20" i="4"/>
  <c r="K15" i="4"/>
  <c r="K17" i="4" s="1"/>
  <c r="I20" i="4"/>
  <c r="D20" i="4"/>
  <c r="D17" i="4"/>
  <c r="K18" i="4"/>
  <c r="K75" i="4" s="1"/>
  <c r="F17" i="4"/>
  <c r="F20" i="4"/>
  <c r="C17" i="4"/>
  <c r="C20" i="4"/>
  <c r="B17" i="4"/>
  <c r="B20" i="4"/>
  <c r="G17" i="4"/>
  <c r="G20" i="4"/>
  <c r="E17" i="4"/>
  <c r="E20" i="4"/>
  <c r="L117" i="3"/>
  <c r="L118" i="3" s="1"/>
  <c r="L121" i="3" s="1"/>
  <c r="L122" i="3" s="1"/>
  <c r="L125" i="3" s="1"/>
  <c r="L126" i="3" s="1"/>
  <c r="L129" i="3" s="1"/>
  <c r="L132" i="3" s="1"/>
  <c r="L136" i="3" s="1"/>
  <c r="L139" i="3" s="1"/>
  <c r="L142" i="3" s="1"/>
  <c r="M115" i="3"/>
  <c r="N84" i="3"/>
  <c r="N86" i="3" s="1"/>
  <c r="M86" i="3"/>
  <c r="M85" i="3"/>
  <c r="N85" i="3" s="1"/>
  <c r="J93" i="3"/>
  <c r="K93" i="3" s="1"/>
  <c r="J95" i="3"/>
  <c r="J98" i="3" s="1"/>
  <c r="L90" i="3"/>
  <c r="L89" i="3" s="1"/>
  <c r="L87" i="3"/>
  <c r="J122" i="3"/>
  <c r="J125" i="3" s="1"/>
  <c r="J120" i="3"/>
  <c r="K120" i="3" s="1"/>
  <c r="L120" i="3" s="1"/>
  <c r="K116" i="3"/>
  <c r="L116" i="3" s="1"/>
  <c r="J159" i="3"/>
  <c r="K159" i="3" s="1"/>
  <c r="J163" i="3"/>
  <c r="L145" i="3"/>
  <c r="M83" i="3"/>
  <c r="L146" i="3"/>
  <c r="K160" i="3"/>
  <c r="K163" i="3" s="1"/>
  <c r="K167" i="3" s="1"/>
  <c r="K170" i="3" s="1"/>
  <c r="K173" i="3" s="1"/>
  <c r="L114" i="3"/>
  <c r="J208" i="3"/>
  <c r="K177" i="3"/>
  <c r="J176" i="3"/>
  <c r="J191" i="3"/>
  <c r="M55" i="3"/>
  <c r="N53" i="3"/>
  <c r="N55" i="3" s="1"/>
  <c r="J77" i="3"/>
  <c r="J73" i="3"/>
  <c r="M54" i="3"/>
  <c r="N54" i="3" s="1"/>
  <c r="K63" i="3"/>
  <c r="K60" i="3"/>
  <c r="K58" i="3"/>
  <c r="L56" i="3"/>
  <c r="L59" i="3"/>
  <c r="M52" i="3"/>
  <c r="I102" i="1"/>
  <c r="L15" i="4" l="1"/>
  <c r="L17" i="4" s="1"/>
  <c r="N7" i="4"/>
  <c r="M11" i="4"/>
  <c r="M15" i="4" s="1"/>
  <c r="M17" i="4" s="1"/>
  <c r="N5" i="4"/>
  <c r="N12" i="4"/>
  <c r="N10" i="4"/>
  <c r="K20" i="4"/>
  <c r="L18" i="4"/>
  <c r="M89" i="3"/>
  <c r="N89" i="3" s="1"/>
  <c r="J167" i="3"/>
  <c r="J162" i="3"/>
  <c r="K162" i="3" s="1"/>
  <c r="J97" i="3"/>
  <c r="J101" i="3"/>
  <c r="M90" i="3"/>
  <c r="M87" i="3"/>
  <c r="M114" i="3"/>
  <c r="N90" i="3"/>
  <c r="N87" i="3"/>
  <c r="J126" i="3"/>
  <c r="J129" i="3" s="1"/>
  <c r="J124" i="3"/>
  <c r="K124" i="3" s="1"/>
  <c r="L124" i="3" s="1"/>
  <c r="J194" i="3"/>
  <c r="J190" i="3"/>
  <c r="K176" i="3"/>
  <c r="L177" i="3"/>
  <c r="K191" i="3"/>
  <c r="K194" i="3" s="1"/>
  <c r="K198" i="3" s="1"/>
  <c r="K201" i="3" s="1"/>
  <c r="K204" i="3" s="1"/>
  <c r="J222" i="3"/>
  <c r="K208" i="3"/>
  <c r="J207" i="3"/>
  <c r="K207" i="3" s="1"/>
  <c r="L91" i="3"/>
  <c r="L94" i="3"/>
  <c r="L95" i="3" s="1"/>
  <c r="L98" i="3" s="1"/>
  <c r="L101" i="3" s="1"/>
  <c r="L105" i="3" s="1"/>
  <c r="L108" i="3" s="1"/>
  <c r="L111" i="3" s="1"/>
  <c r="L93" i="3"/>
  <c r="M146" i="3"/>
  <c r="L160" i="3"/>
  <c r="L163" i="3" s="1"/>
  <c r="L167" i="3" s="1"/>
  <c r="L170" i="3" s="1"/>
  <c r="L173" i="3" s="1"/>
  <c r="M117" i="3"/>
  <c r="M118" i="3" s="1"/>
  <c r="M121" i="3" s="1"/>
  <c r="M122" i="3" s="1"/>
  <c r="M125" i="3" s="1"/>
  <c r="M126" i="3" s="1"/>
  <c r="M129" i="3" s="1"/>
  <c r="M132" i="3" s="1"/>
  <c r="M136" i="3" s="1"/>
  <c r="M139" i="3" s="1"/>
  <c r="M142" i="3" s="1"/>
  <c r="N115" i="3"/>
  <c r="N117" i="3" s="1"/>
  <c r="N118" i="3" s="1"/>
  <c r="N121" i="3" s="1"/>
  <c r="N122" i="3" s="1"/>
  <c r="N125" i="3" s="1"/>
  <c r="N126" i="3" s="1"/>
  <c r="N129" i="3" s="1"/>
  <c r="N132" i="3" s="1"/>
  <c r="N136" i="3" s="1"/>
  <c r="N139" i="3" s="1"/>
  <c r="N142" i="3" s="1"/>
  <c r="N83" i="3"/>
  <c r="N52" i="3"/>
  <c r="L60" i="3"/>
  <c r="L63" i="3"/>
  <c r="L58" i="3"/>
  <c r="M58" i="3" s="1"/>
  <c r="K67" i="3"/>
  <c r="K64" i="3"/>
  <c r="K62" i="3"/>
  <c r="L62" i="3" s="1"/>
  <c r="J76" i="3"/>
  <c r="J80" i="3"/>
  <c r="J79" i="3" s="1"/>
  <c r="N56" i="3"/>
  <c r="N59" i="3"/>
  <c r="M56" i="3"/>
  <c r="M59" i="3"/>
  <c r="L75" i="4" l="1"/>
  <c r="M13" i="4"/>
  <c r="N11" i="4"/>
  <c r="N15" i="4" s="1"/>
  <c r="N17" i="4" s="1"/>
  <c r="L20" i="4"/>
  <c r="M18" i="4"/>
  <c r="M124" i="3"/>
  <c r="N124" i="3" s="1"/>
  <c r="N94" i="3"/>
  <c r="N95" i="3" s="1"/>
  <c r="N98" i="3" s="1"/>
  <c r="N101" i="3" s="1"/>
  <c r="N105" i="3" s="1"/>
  <c r="N108" i="3" s="1"/>
  <c r="N111" i="3" s="1"/>
  <c r="N91" i="3"/>
  <c r="N114" i="3"/>
  <c r="M94" i="3"/>
  <c r="M95" i="3" s="1"/>
  <c r="M98" i="3" s="1"/>
  <c r="M101" i="3" s="1"/>
  <c r="M105" i="3" s="1"/>
  <c r="M108" i="3" s="1"/>
  <c r="M111" i="3" s="1"/>
  <c r="M91" i="3"/>
  <c r="K97" i="3"/>
  <c r="L97" i="3" s="1"/>
  <c r="M97" i="3" s="1"/>
  <c r="N97" i="3" s="1"/>
  <c r="J3" i="3"/>
  <c r="L162" i="3"/>
  <c r="J128" i="3"/>
  <c r="K128" i="3" s="1"/>
  <c r="L128" i="3" s="1"/>
  <c r="M128" i="3" s="1"/>
  <c r="N128" i="3" s="1"/>
  <c r="J132" i="3"/>
  <c r="N146" i="3"/>
  <c r="N160" i="3" s="1"/>
  <c r="N163" i="3" s="1"/>
  <c r="N167" i="3" s="1"/>
  <c r="N170" i="3" s="1"/>
  <c r="N173" i="3" s="1"/>
  <c r="M160" i="3"/>
  <c r="M163" i="3" s="1"/>
  <c r="M167" i="3" s="1"/>
  <c r="M170" i="3" s="1"/>
  <c r="M173" i="3" s="1"/>
  <c r="L159" i="3"/>
  <c r="M159" i="3" s="1"/>
  <c r="N159" i="3" s="1"/>
  <c r="M145" i="3"/>
  <c r="N145" i="3" s="1"/>
  <c r="L191" i="3"/>
  <c r="L194" i="3" s="1"/>
  <c r="L198" i="3" s="1"/>
  <c r="L201" i="3" s="1"/>
  <c r="L204" i="3" s="1"/>
  <c r="M177" i="3"/>
  <c r="L176" i="3"/>
  <c r="K3" i="3"/>
  <c r="J166" i="3"/>
  <c r="K166" i="3" s="1"/>
  <c r="L166" i="3" s="1"/>
  <c r="J170" i="3"/>
  <c r="M116" i="3"/>
  <c r="N116" i="3" s="1"/>
  <c r="M93" i="3"/>
  <c r="N93" i="3" s="1"/>
  <c r="L208" i="3"/>
  <c r="K222" i="3"/>
  <c r="K225" i="3" s="1"/>
  <c r="K229" i="3" s="1"/>
  <c r="K232" i="3" s="1"/>
  <c r="K235" i="3" s="1"/>
  <c r="J221" i="3"/>
  <c r="K221" i="3" s="1"/>
  <c r="J225" i="3"/>
  <c r="J105" i="3"/>
  <c r="J100" i="3"/>
  <c r="M120" i="3"/>
  <c r="N120" i="3" s="1"/>
  <c r="K190" i="3"/>
  <c r="J193" i="3"/>
  <c r="K193" i="3" s="1"/>
  <c r="J198" i="3"/>
  <c r="M62" i="3"/>
  <c r="N60" i="3"/>
  <c r="N63" i="3"/>
  <c r="N58" i="3"/>
  <c r="K70" i="3"/>
  <c r="K66" i="3"/>
  <c r="L67" i="3"/>
  <c r="L70" i="3" s="1"/>
  <c r="L74" i="3" s="1"/>
  <c r="L77" i="3" s="1"/>
  <c r="L80" i="3" s="1"/>
  <c r="L64" i="3"/>
  <c r="M60" i="3"/>
  <c r="M63" i="3"/>
  <c r="M75" i="4" l="1"/>
  <c r="N13" i="4"/>
  <c r="M20" i="4"/>
  <c r="N18" i="4"/>
  <c r="N75" i="4" s="1"/>
  <c r="N77" i="4" s="1"/>
  <c r="J108" i="3"/>
  <c r="J104" i="3"/>
  <c r="K104" i="3" s="1"/>
  <c r="L104" i="3" s="1"/>
  <c r="M104" i="3" s="1"/>
  <c r="N104" i="3" s="1"/>
  <c r="J224" i="3"/>
  <c r="K224" i="3" s="1"/>
  <c r="J229" i="3"/>
  <c r="J5" i="3"/>
  <c r="J173" i="3"/>
  <c r="J172" i="3" s="1"/>
  <c r="K172" i="3" s="1"/>
  <c r="L172" i="3" s="1"/>
  <c r="M172" i="3" s="1"/>
  <c r="N172" i="3" s="1"/>
  <c r="J169" i="3"/>
  <c r="K169" i="3" s="1"/>
  <c r="L169" i="3" s="1"/>
  <c r="M169" i="3" s="1"/>
  <c r="N169" i="3" s="1"/>
  <c r="M166" i="3"/>
  <c r="N166" i="3" s="1"/>
  <c r="M176" i="3"/>
  <c r="L3" i="3"/>
  <c r="J131" i="3"/>
  <c r="K131" i="3" s="1"/>
  <c r="L131" i="3" s="1"/>
  <c r="M131" i="3" s="1"/>
  <c r="N131" i="3" s="1"/>
  <c r="J136" i="3"/>
  <c r="L222" i="3"/>
  <c r="L225" i="3" s="1"/>
  <c r="L229" i="3" s="1"/>
  <c r="L232" i="3" s="1"/>
  <c r="L235" i="3" s="1"/>
  <c r="M208" i="3"/>
  <c r="L207" i="3"/>
  <c r="J197" i="3"/>
  <c r="K197" i="3" s="1"/>
  <c r="L197" i="3" s="1"/>
  <c r="J201" i="3"/>
  <c r="L193" i="3"/>
  <c r="L190" i="3"/>
  <c r="K100" i="3"/>
  <c r="L100" i="3" s="1"/>
  <c r="M100" i="3" s="1"/>
  <c r="N100" i="3" s="1"/>
  <c r="M162" i="3"/>
  <c r="N162" i="3" s="1"/>
  <c r="M191" i="3"/>
  <c r="M194" i="3" s="1"/>
  <c r="M198" i="3" s="1"/>
  <c r="M201" i="3" s="1"/>
  <c r="M204" i="3" s="1"/>
  <c r="N177" i="3"/>
  <c r="N191" i="3" s="1"/>
  <c r="N194" i="3" s="1"/>
  <c r="N198" i="3" s="1"/>
  <c r="N201" i="3" s="1"/>
  <c r="N204" i="3" s="1"/>
  <c r="K5" i="3"/>
  <c r="L66" i="3"/>
  <c r="N64" i="3"/>
  <c r="N67" i="3"/>
  <c r="N70" i="3" s="1"/>
  <c r="N74" i="3" s="1"/>
  <c r="N77" i="3" s="1"/>
  <c r="N80" i="3" s="1"/>
  <c r="K74" i="3"/>
  <c r="K69" i="3"/>
  <c r="N62" i="3"/>
  <c r="M64" i="3"/>
  <c r="M67" i="3"/>
  <c r="M70" i="3" s="1"/>
  <c r="M74" i="3" s="1"/>
  <c r="M77" i="3" s="1"/>
  <c r="M80" i="3" s="1"/>
  <c r="N20" i="4" l="1"/>
  <c r="M222" i="3"/>
  <c r="M225" i="3" s="1"/>
  <c r="M229" i="3" s="1"/>
  <c r="M232" i="3" s="1"/>
  <c r="M235" i="3" s="1"/>
  <c r="N208" i="3"/>
  <c r="N222" i="3" s="1"/>
  <c r="N225" i="3" s="1"/>
  <c r="N229" i="3" s="1"/>
  <c r="N232" i="3" s="1"/>
  <c r="N235" i="3" s="1"/>
  <c r="J135" i="3"/>
  <c r="K135" i="3" s="1"/>
  <c r="L135" i="3" s="1"/>
  <c r="M135" i="3" s="1"/>
  <c r="N135" i="3" s="1"/>
  <c r="J139" i="3"/>
  <c r="J7" i="3"/>
  <c r="L221" i="3"/>
  <c r="M221" i="3" s="1"/>
  <c r="N221" i="3" s="1"/>
  <c r="N176" i="3"/>
  <c r="N3" i="3" s="1"/>
  <c r="J8" i="3"/>
  <c r="M3" i="3"/>
  <c r="M190" i="3"/>
  <c r="N190" i="3" s="1"/>
  <c r="J228" i="3"/>
  <c r="K228" i="3" s="1"/>
  <c r="L228" i="3" s="1"/>
  <c r="M228" i="3" s="1"/>
  <c r="N228" i="3" s="1"/>
  <c r="J232" i="3"/>
  <c r="M193" i="3"/>
  <c r="N193" i="3" s="1"/>
  <c r="L224" i="3"/>
  <c r="M224" i="3" s="1"/>
  <c r="N224" i="3" s="1"/>
  <c r="J204" i="3"/>
  <c r="J203" i="3" s="1"/>
  <c r="K203" i="3" s="1"/>
  <c r="L203" i="3" s="1"/>
  <c r="M203" i="3" s="1"/>
  <c r="N203" i="3" s="1"/>
  <c r="J200" i="3"/>
  <c r="K200" i="3" s="1"/>
  <c r="L200" i="3" s="1"/>
  <c r="M200" i="3" s="1"/>
  <c r="N200" i="3" s="1"/>
  <c r="M197" i="3"/>
  <c r="N197" i="3" s="1"/>
  <c r="J107" i="3"/>
  <c r="J111" i="3"/>
  <c r="J110" i="3" s="1"/>
  <c r="M207" i="3"/>
  <c r="N207" i="3" s="1"/>
  <c r="K8" i="3"/>
  <c r="L69" i="3"/>
  <c r="L5" i="3"/>
  <c r="M66" i="3"/>
  <c r="K77" i="3"/>
  <c r="K73" i="3"/>
  <c r="L73" i="3" s="1"/>
  <c r="M73" i="3" s="1"/>
  <c r="N73" i="3" s="1"/>
  <c r="K7" i="3"/>
  <c r="K11" i="3"/>
  <c r="J231" i="3" l="1"/>
  <c r="K231" i="3" s="1"/>
  <c r="L231" i="3" s="1"/>
  <c r="M231" i="3" s="1"/>
  <c r="N231" i="3" s="1"/>
  <c r="J235" i="3"/>
  <c r="J234" i="3" s="1"/>
  <c r="K234" i="3" s="1"/>
  <c r="L234" i="3" s="1"/>
  <c r="M234" i="3" s="1"/>
  <c r="N234" i="3" s="1"/>
  <c r="J9" i="3"/>
  <c r="J10" i="3"/>
  <c r="K110" i="3"/>
  <c r="L110" i="3" s="1"/>
  <c r="M110" i="3" s="1"/>
  <c r="N110" i="3" s="1"/>
  <c r="J138" i="3"/>
  <c r="K138" i="3" s="1"/>
  <c r="L138" i="3" s="1"/>
  <c r="M138" i="3" s="1"/>
  <c r="N138" i="3" s="1"/>
  <c r="J142" i="3"/>
  <c r="J141" i="3" s="1"/>
  <c r="K141" i="3" s="1"/>
  <c r="L141" i="3" s="1"/>
  <c r="M141" i="3" s="1"/>
  <c r="N141" i="3" s="1"/>
  <c r="J11" i="3"/>
  <c r="K107" i="3"/>
  <c r="L107" i="3" s="1"/>
  <c r="M107" i="3" s="1"/>
  <c r="N107" i="3" s="1"/>
  <c r="J14" i="3"/>
  <c r="K13" i="3"/>
  <c r="K12" i="3"/>
  <c r="K80" i="3"/>
  <c r="K79" i="3" s="1"/>
  <c r="K76" i="3"/>
  <c r="L7" i="3"/>
  <c r="N66" i="3"/>
  <c r="N5" i="3" s="1"/>
  <c r="M5" i="3"/>
  <c r="L8" i="3"/>
  <c r="L11" i="3" s="1"/>
  <c r="M69" i="3"/>
  <c r="K10" i="3"/>
  <c r="K9" i="3"/>
  <c r="J17" i="3" l="1"/>
  <c r="J15" i="3"/>
  <c r="J16" i="3"/>
  <c r="J12" i="3"/>
  <c r="J13" i="3"/>
  <c r="L13" i="3"/>
  <c r="L12" i="3"/>
  <c r="M8" i="3"/>
  <c r="M10" i="3" s="1"/>
  <c r="N69" i="3"/>
  <c r="N8" i="3" s="1"/>
  <c r="N11" i="3" s="1"/>
  <c r="N7" i="3"/>
  <c r="M11" i="3"/>
  <c r="M7" i="3"/>
  <c r="K17" i="3"/>
  <c r="L79" i="3"/>
  <c r="M9" i="3"/>
  <c r="L9" i="3"/>
  <c r="L10" i="3"/>
  <c r="L76" i="3"/>
  <c r="K14" i="3"/>
  <c r="J18" i="3" l="1"/>
  <c r="J19" i="3"/>
  <c r="M76" i="3"/>
  <c r="L14" i="3"/>
  <c r="K15" i="3"/>
  <c r="K16" i="3"/>
  <c r="K18" i="3"/>
  <c r="K19" i="3"/>
  <c r="M12" i="3"/>
  <c r="M13" i="3"/>
  <c r="N13" i="3"/>
  <c r="N12" i="3"/>
  <c r="L17" i="3"/>
  <c r="M79" i="3"/>
  <c r="N9" i="3"/>
  <c r="N10" i="3"/>
  <c r="M17" i="3" l="1"/>
  <c r="N79" i="3"/>
  <c r="N17" i="3" s="1"/>
  <c r="L19" i="3"/>
  <c r="L18" i="3"/>
  <c r="L15" i="3"/>
  <c r="L16" i="3"/>
  <c r="N76" i="3"/>
  <c r="N14" i="3" s="1"/>
  <c r="M14" i="3"/>
  <c r="N15" i="3" l="1"/>
  <c r="N16" i="3"/>
  <c r="N19" i="3"/>
  <c r="N18" i="3"/>
  <c r="M16" i="3"/>
  <c r="M15" i="3"/>
  <c r="M19" i="3"/>
  <c r="M18" i="3"/>
  <c r="J1" i="4" l="1"/>
  <c r="K1" i="4" s="1"/>
  <c r="L1" i="4" s="1"/>
  <c r="M1" i="4" s="1"/>
  <c r="N1" i="4" s="1"/>
  <c r="H1" i="4"/>
  <c r="G1" i="4" s="1"/>
  <c r="F1" i="4" s="1"/>
  <c r="E1" i="4" s="1"/>
  <c r="D1" i="4" s="1"/>
  <c r="C1" i="4" s="1"/>
  <c r="B1" i="4" s="1"/>
  <c r="A51" i="3" l="1"/>
  <c r="I48" i="3" l="1"/>
  <c r="H48" i="3"/>
  <c r="G48" i="3"/>
  <c r="F48" i="3"/>
  <c r="E48" i="3"/>
  <c r="D48" i="3"/>
  <c r="C48" i="3"/>
  <c r="B48" i="3"/>
  <c r="B49" i="3" s="1"/>
  <c r="K34" i="3"/>
  <c r="L34" i="3" s="1"/>
  <c r="M34" i="3" s="1"/>
  <c r="N34" i="3" s="1"/>
  <c r="J32" i="3"/>
  <c r="K30" i="3"/>
  <c r="L30" i="3" s="1"/>
  <c r="M30" i="3" s="1"/>
  <c r="N30" i="3" s="1"/>
  <c r="J28" i="3"/>
  <c r="J24" i="3"/>
  <c r="K25" i="3"/>
  <c r="L25" i="3" s="1"/>
  <c r="M25" i="3" s="1"/>
  <c r="N25" i="3" s="1"/>
  <c r="N24" i="3" s="1"/>
  <c r="K26" i="3"/>
  <c r="L26" i="3" s="1"/>
  <c r="M26" i="3" s="1"/>
  <c r="N26" i="3" s="1"/>
  <c r="F49" i="3" l="1"/>
  <c r="C49" i="3"/>
  <c r="E49" i="3"/>
  <c r="D49" i="3"/>
  <c r="G49" i="3"/>
  <c r="H49" i="3"/>
  <c r="I49" i="3"/>
  <c r="L24" i="3"/>
  <c r="M24" i="3"/>
  <c r="K24" i="3"/>
  <c r="K33" i="3"/>
  <c r="K29" i="3"/>
  <c r="A20" i="3"/>
  <c r="H45" i="3"/>
  <c r="G45" i="3"/>
  <c r="F45" i="3"/>
  <c r="E45" i="3"/>
  <c r="D45" i="3"/>
  <c r="C45" i="3"/>
  <c r="B45" i="3"/>
  <c r="I45" i="3"/>
  <c r="I38" i="3"/>
  <c r="I41" i="3" s="1"/>
  <c r="J41" i="3" s="1"/>
  <c r="K41" i="3" s="1"/>
  <c r="H38" i="3"/>
  <c r="H41" i="3" s="1"/>
  <c r="G38" i="3"/>
  <c r="G41" i="3" s="1"/>
  <c r="F38" i="3"/>
  <c r="F41" i="3" s="1"/>
  <c r="E38" i="3"/>
  <c r="E41" i="3" s="1"/>
  <c r="D38" i="3"/>
  <c r="D41" i="3" s="1"/>
  <c r="C38" i="3"/>
  <c r="C41" i="3" s="1"/>
  <c r="B38" i="3"/>
  <c r="B41" i="3" s="1"/>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L41" i="3" l="1"/>
  <c r="G32" i="3"/>
  <c r="G34" i="3" s="1"/>
  <c r="H24" i="3"/>
  <c r="H26" i="3" s="1"/>
  <c r="E28" i="3"/>
  <c r="E30" i="3" s="1"/>
  <c r="C24" i="3"/>
  <c r="C26" i="3" s="1"/>
  <c r="C46" i="3"/>
  <c r="D24" i="3"/>
  <c r="D26" i="3" s="1"/>
  <c r="G43" i="3"/>
  <c r="G46" i="3"/>
  <c r="G24" i="3"/>
  <c r="G26" i="3" s="1"/>
  <c r="H35" i="3"/>
  <c r="H46" i="3"/>
  <c r="B34" i="3"/>
  <c r="I35" i="3"/>
  <c r="E32" i="3"/>
  <c r="E34" i="3" s="1"/>
  <c r="C32" i="3"/>
  <c r="C34" i="3" s="1"/>
  <c r="B35" i="3"/>
  <c r="B36" i="3" s="1"/>
  <c r="E24" i="3"/>
  <c r="E26" i="3" s="1"/>
  <c r="F28" i="3"/>
  <c r="F30" i="3" s="1"/>
  <c r="F32" i="3"/>
  <c r="F34" i="3" s="1"/>
  <c r="E46" i="3"/>
  <c r="G28" i="3"/>
  <c r="G30" i="3" s="1"/>
  <c r="H28" i="3"/>
  <c r="H30" i="3" s="1"/>
  <c r="H32" i="3"/>
  <c r="H34" i="3" s="1"/>
  <c r="C35" i="3"/>
  <c r="B26" i="3"/>
  <c r="E39" i="3"/>
  <c r="F43" i="3"/>
  <c r="C28" i="3"/>
  <c r="C30" i="3" s="1"/>
  <c r="F46" i="3"/>
  <c r="D28" i="3"/>
  <c r="D30" i="3" s="1"/>
  <c r="D32" i="3"/>
  <c r="D34" i="3" s="1"/>
  <c r="I24" i="3"/>
  <c r="I26" i="3" s="1"/>
  <c r="G35" i="3"/>
  <c r="J21" i="3"/>
  <c r="K23" i="3"/>
  <c r="L23" i="3" s="1"/>
  <c r="M23" i="3" s="1"/>
  <c r="N23" i="3" s="1"/>
  <c r="I39" i="3"/>
  <c r="I43" i="3"/>
  <c r="I46" i="3"/>
  <c r="D35" i="3"/>
  <c r="E43" i="3"/>
  <c r="F24" i="3"/>
  <c r="F26" i="3" s="1"/>
  <c r="E35" i="3"/>
  <c r="F35" i="3"/>
  <c r="G39" i="3"/>
  <c r="B39" i="3"/>
  <c r="B43" i="3"/>
  <c r="B46" i="3"/>
  <c r="F39" i="3"/>
  <c r="H43" i="3"/>
  <c r="I28" i="3"/>
  <c r="I30" i="3" s="1"/>
  <c r="C39" i="3"/>
  <c r="C43" i="3"/>
  <c r="H39" i="3"/>
  <c r="I32" i="3"/>
  <c r="I34" i="3" s="1"/>
  <c r="D39" i="3"/>
  <c r="D43" i="3"/>
  <c r="D46" i="3"/>
  <c r="K32" i="3"/>
  <c r="K31" i="3" s="1"/>
  <c r="L33" i="3"/>
  <c r="K28" i="3"/>
  <c r="K27" i="3" s="1"/>
  <c r="L29" i="3"/>
  <c r="I36" i="3" l="1"/>
  <c r="M41" i="3"/>
  <c r="C36" i="3"/>
  <c r="G36" i="3"/>
  <c r="H36" i="3"/>
  <c r="D36" i="3"/>
  <c r="F36" i="3"/>
  <c r="E36" i="3"/>
  <c r="L32" i="3"/>
  <c r="M33" i="3"/>
  <c r="L31" i="3"/>
  <c r="L28" i="3"/>
  <c r="L27" i="3" s="1"/>
  <c r="M29" i="3"/>
  <c r="K21" i="3"/>
  <c r="H21" i="3"/>
  <c r="G21" i="3"/>
  <c r="G37" i="3" s="1"/>
  <c r="F21" i="3"/>
  <c r="E21" i="3"/>
  <c r="D21" i="3"/>
  <c r="D37" i="3" s="1"/>
  <c r="C21" i="3"/>
  <c r="C37" i="3" s="1"/>
  <c r="B21" i="3"/>
  <c r="I21" i="3"/>
  <c r="I50" i="3" s="1"/>
  <c r="J50" i="3" s="1"/>
  <c r="J48" i="3" s="1"/>
  <c r="J38" i="3" s="1"/>
  <c r="B22" i="3" l="1"/>
  <c r="B44" i="3"/>
  <c r="B47" i="3"/>
  <c r="B40" i="3"/>
  <c r="B50" i="3"/>
  <c r="E50" i="3"/>
  <c r="E47" i="3"/>
  <c r="E40" i="3"/>
  <c r="E44" i="3"/>
  <c r="E22" i="3"/>
  <c r="B37" i="3"/>
  <c r="H50" i="3"/>
  <c r="H22" i="3"/>
  <c r="H47" i="3"/>
  <c r="H40" i="3"/>
  <c r="H44" i="3"/>
  <c r="C50" i="3"/>
  <c r="C22" i="3"/>
  <c r="C44" i="3"/>
  <c r="C47" i="3"/>
  <c r="C40" i="3"/>
  <c r="F50" i="3"/>
  <c r="F44" i="3"/>
  <c r="F47" i="3"/>
  <c r="F40" i="3"/>
  <c r="F22" i="3"/>
  <c r="D50" i="3"/>
  <c r="D40" i="3"/>
  <c r="D22" i="3"/>
  <c r="D44" i="3"/>
  <c r="D47" i="3"/>
  <c r="H37" i="3"/>
  <c r="J49" i="3"/>
  <c r="K50" i="3"/>
  <c r="G44" i="3"/>
  <c r="G50" i="3"/>
  <c r="G22" i="3"/>
  <c r="G40" i="3"/>
  <c r="G47" i="3"/>
  <c r="N41" i="3"/>
  <c r="E37" i="3"/>
  <c r="F37" i="3"/>
  <c r="I22" i="3"/>
  <c r="I44" i="3"/>
  <c r="J22" i="3"/>
  <c r="I40" i="3"/>
  <c r="I47" i="3"/>
  <c r="J47" i="3" s="1"/>
  <c r="I37" i="3"/>
  <c r="J37" i="3" s="1"/>
  <c r="K22" i="3"/>
  <c r="M32" i="3"/>
  <c r="M31" i="3" s="1"/>
  <c r="N33" i="3"/>
  <c r="N32" i="3" s="1"/>
  <c r="L21" i="3"/>
  <c r="M28" i="3"/>
  <c r="M27" i="3" s="1"/>
  <c r="N29" i="3"/>
  <c r="N28" i="3" s="1"/>
  <c r="K47" i="3" l="1"/>
  <c r="J45" i="3"/>
  <c r="J46" i="3" s="1"/>
  <c r="N31" i="3"/>
  <c r="L50" i="3"/>
  <c r="K49" i="3"/>
  <c r="K48" i="3"/>
  <c r="K38" i="3" s="1"/>
  <c r="K37" i="3"/>
  <c r="J35" i="3"/>
  <c r="L22" i="3"/>
  <c r="N27" i="3"/>
  <c r="M21" i="3"/>
  <c r="N21" i="3" l="1"/>
  <c r="N22" i="3" s="1"/>
  <c r="L49" i="3"/>
  <c r="M50" i="3"/>
  <c r="M48" i="3" s="1"/>
  <c r="M38" i="3" s="1"/>
  <c r="L47" i="3"/>
  <c r="K45" i="3"/>
  <c r="K46" i="3" s="1"/>
  <c r="J36" i="3"/>
  <c r="J42" i="3"/>
  <c r="L48" i="3"/>
  <c r="L38" i="3" s="1"/>
  <c r="L37" i="3"/>
  <c r="K35" i="3"/>
  <c r="K36" i="3" s="1"/>
  <c r="M22" i="3"/>
  <c r="M47" i="3" l="1"/>
  <c r="L45" i="3"/>
  <c r="L46" i="3" s="1"/>
  <c r="K42" i="3"/>
  <c r="J43" i="3"/>
  <c r="J44" i="3"/>
  <c r="M49" i="3"/>
  <c r="N50" i="3"/>
  <c r="M37" i="3"/>
  <c r="L35" i="3"/>
  <c r="L36" i="3" s="1"/>
  <c r="N49" i="3" l="1"/>
  <c r="N48" i="3"/>
  <c r="N38" i="3" s="1"/>
  <c r="L42" i="3"/>
  <c r="K43" i="3"/>
  <c r="K44" i="3"/>
  <c r="N47" i="3"/>
  <c r="M45" i="3"/>
  <c r="M46" i="3" s="1"/>
  <c r="N37" i="3"/>
  <c r="N35" i="3" s="1"/>
  <c r="M35" i="3"/>
  <c r="H1" i="1"/>
  <c r="G1" i="1" s="1"/>
  <c r="F1" i="1" s="1"/>
  <c r="E1" i="1" s="1"/>
  <c r="D1" i="1" s="1"/>
  <c r="C1" i="1" s="1"/>
  <c r="B1" i="1" s="1"/>
  <c r="M36" i="3" l="1"/>
  <c r="M42" i="3"/>
  <c r="N42" i="3"/>
  <c r="N45" i="3"/>
  <c r="N46" i="3" s="1"/>
  <c r="L44" i="3"/>
  <c r="L43" i="3"/>
  <c r="N36" i="3"/>
  <c r="N44" i="3" l="1"/>
  <c r="N43" i="3"/>
  <c r="M44" i="3"/>
  <c r="M43" i="3"/>
  <c r="K39" i="3"/>
  <c r="M39" i="3"/>
  <c r="N39" i="3"/>
  <c r="M40" i="3"/>
  <c r="N40" i="3"/>
  <c r="K40" i="3"/>
  <c r="J39" i="3"/>
  <c r="L39" i="3"/>
  <c r="J40" i="3"/>
  <c r="L40" i="3"/>
  <c r="J34" i="4"/>
  <c r="J33" i="4" s="1"/>
  <c r="J3" i="4"/>
  <c r="K3" i="4" l="1"/>
  <c r="J24" i="4"/>
  <c r="J25" i="4"/>
  <c r="L3" i="4" l="1"/>
  <c r="K24" i="4"/>
  <c r="L24" i="4" l="1"/>
  <c r="L9" i="4"/>
  <c r="M3" i="4"/>
  <c r="K34" i="4"/>
  <c r="K9" i="4"/>
  <c r="K14" i="4"/>
  <c r="L34" i="4" l="1"/>
  <c r="L33" i="4" s="1"/>
  <c r="K33" i="4"/>
  <c r="M24" i="4"/>
  <c r="M9" i="4"/>
  <c r="N3" i="4"/>
  <c r="M34" i="4"/>
  <c r="M33" i="4" s="1"/>
  <c r="L14" i="4"/>
  <c r="N9" i="4" l="1"/>
  <c r="N24" i="4"/>
  <c r="K25" i="4"/>
  <c r="M14" i="4"/>
  <c r="N34" i="4"/>
  <c r="N33" i="4" s="1"/>
  <c r="N14" i="4" l="1"/>
  <c r="L25" i="4"/>
  <c r="M25" i="4" l="1"/>
  <c r="N25" i="4"/>
  <c r="J11" i="4" l="1"/>
  <c r="J13" i="4" s="1"/>
  <c r="J9" i="4"/>
  <c r="J79" i="4" l="1"/>
  <c r="K78" i="4" s="1"/>
  <c r="J15" i="4"/>
  <c r="J22" i="4" l="1"/>
  <c r="K77" i="4"/>
  <c r="K79" i="4" s="1"/>
  <c r="J17" i="4"/>
  <c r="J20" i="4"/>
  <c r="L78" i="4" l="1"/>
  <c r="J32" i="4"/>
  <c r="J46" i="4" s="1"/>
  <c r="J80" i="4"/>
  <c r="L77" i="4"/>
  <c r="L79" i="4" s="1"/>
  <c r="M78" i="4" s="1"/>
  <c r="K32" i="4" l="1"/>
  <c r="K46" i="4" s="1"/>
  <c r="M32" i="4"/>
  <c r="M77" i="4"/>
  <c r="M79" i="4" s="1"/>
  <c r="N78" i="4" s="1"/>
  <c r="N79" i="4" s="1"/>
  <c r="L80" i="4" l="1"/>
  <c r="L32" i="4"/>
  <c r="L46" i="4" s="1"/>
  <c r="M80" i="4"/>
  <c r="N32" i="4"/>
  <c r="M46" i="4"/>
  <c r="N80" i="4" l="1"/>
  <c r="N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<sst xmlns="http://schemas.openxmlformats.org/spreadsheetml/2006/main" count="621" uniqueCount="243">
  <si>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</si>
  <si>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</si>
  <si>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</si>
  <si>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</si>
  <si>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</si>
  <si>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</si>
  <si>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</si>
  <si>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</si>
  <si>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</si>
  <si>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</si>
  <si>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</si>
  <si>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</si>
  <si>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</si>
  <si>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</si>
  <si>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</si>
  <si>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</si>
  <si>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</si>
  <si>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</si>
  <si>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</si>
  <si>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</si>
  <si>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</si>
  <si>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</si>
  <si>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</si>
  <si>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</si>
  <si>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</si>
  <si>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</si>
  <si>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</si>
  <si>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</si>
  <si>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</si>
  <si>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</si>
  <si>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</si>
  <si>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</si>
  <si>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</si>
  <si>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</si>
  <si>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</si>
  <si>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</si>
  <si>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</si>
  <si>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</si>
  <si>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</si>
  <si>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</si>
  <si>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</si>
  <si>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</si>
  <si>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</si>
  <si>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</si>
  <si>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</si>
  <si>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</si>
  <si>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</si>
  <si>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</si>
  <si>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</si>
  <si>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</si>
  <si>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</si>
  <si>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</si>
  <si>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</si>
  <si>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</si>
  <si>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</si>
  <si>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</si>
  <si>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</si>
  <si>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</si>
  <si>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</si>
  <si>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</si>
  <si>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</si>
  <si>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</si>
  <si>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</si>
  <si>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</si>
  <si>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</si>
  <si>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</si>
  <si>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</si>
  <si>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</si>
  <si>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</si>
  <si>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</si>
  <si>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</si>
  <si>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</si>
  <si>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</si>
  <si>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</si>
  <si>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</si>
  <si>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</si>
  <si>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</si>
  <si>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</si>
  <si>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</si>
  <si>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</si>
  <si>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</si>
  <si>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</si>
  <si>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</si>
  <si>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</si>
  <si>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</si>
  <si>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</si>
  <si>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</si>
  <si>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</si>
  <si>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</si>
  <si>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</si>
  <si>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</si>
  <si>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</si>
  <si>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</si>
  <si>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</si>
  <si>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</si>
  <si>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</si>
  <si>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</si>
  <si>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</si>
  <si>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</si>
  <si>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</si>
  <si>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</si>
  <si>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</si>
  <si>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</si>
  <si>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</si>
  <si>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</si>
  <si>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</si>
  <si>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</si>
  <si>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</si>
  <si>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</si>
  <si>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</si>
  <si>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</si>
  <si>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</si>
  <si>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</si>
  <si>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</si>
  <si>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</si>
  <si>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</si>
  <si>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</si>
  <si>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</si>
  <si>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</si>
  <si>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</si>
  <si>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</si>
  <si>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</si>
  <si>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</si>
  <si>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</si>
  <si>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</si>
  <si>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</si>
  <si>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</si>
  <si>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</si>
  <si>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</si>
  <si>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</si>
  <si>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</si>
  <si>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</si>
  <si>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</si>
  <si>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</si>
  <si>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</si>
  <si>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</si>
  <si>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</si>
  <si>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</si>
  <si>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</si>
  <si>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</si>
  <si>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</si>
  <si>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</si>
  <si>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</si>
  <si>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</si>
  <si>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</si>
  <si>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</si>
  <si>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</si>
  <si>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</si>
  <si>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</si>
  <si>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</si>
  <si>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</si>
  <si>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</si>
  <si>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</si>
  <si>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</si>
  <si>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</si>
  <si>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</si>
  <si>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</si>
  <si>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</si>
  <si>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</si>
  <si>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</si>
  <si>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</si>
  <si>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</si>
  <si>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</si>
  <si>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</si>
  <si>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</si>
  <si>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</si>
  <si>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</si>
  <si>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</si>
  <si>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</si>
  <si>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</si>
  <si>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</si>
  <si>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</si>
  <si>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</si>
  <si>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</si>
  <si>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</si>
  <si>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</si>
  <si>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</si>
  <si>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</si>
  <si>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</si>
  <si>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</si>
  <si>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</si>
  <si>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</si>
  <si>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</si>
  <si>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</si>
  <si>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</si>
  <si>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</si>
  <si>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</si>
  <si>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</si>
  <si>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</si>
  <si>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</si>
  <si>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</si>
  <si>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</si>
  <si>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</si>
  <si>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</si>
  <si>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</si>
  <si>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</si>
  <si>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</si>
  <si>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</si>
  <si>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</si>
  <si>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</si>
  <si>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</si>
  <si>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</si>
  <si>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</si>
  <si>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</si>
  <si>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</si>
  <si>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</si>
  <si>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</si>
  <si>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</si>
  <si>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</si>
  <si>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</si>
  <si>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</si>
  <si>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</si>
  <si>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</si>
  <si>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</si>
  <si>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</si>
  <si>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</si>
  <si>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</si>
  <si>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</si>
  <si>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</si>
  <si>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</si>
  <si>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Deffered income taxes</t>
  </si>
  <si>
    <t>Investments in reverse repurchase agreements</t>
  </si>
  <si>
    <t>Disposals of property, plant and equipment</t>
  </si>
  <si>
    <t xml:space="preserve">Long-term debt payments, including current portion </t>
  </si>
  <si>
    <t>Excess tax benefits from share-based paymnet arrangements</t>
  </si>
  <si>
    <t>nm</t>
  </si>
  <si>
    <t>Global Brand Division</t>
  </si>
  <si>
    <t>Av GR%</t>
  </si>
  <si>
    <t>Tax rate expectations in the earnings call transcripts are predicting rates in the mid teens range. 61% increase in tax In 2023 gives us a 14% tax rate for all forecasted years. This was also the rate in 2021, and the average rate across 2019 to 2021.</t>
  </si>
  <si>
    <t>Dividends per share has been on a clear consistent uptrend since 2017 increasing around 10-12% each year since 2018.</t>
  </si>
  <si>
    <t>We conclude that this trend will persist for future years and calculated the average growth percentage of all years to 10.9% and used this in forecasting.</t>
  </si>
  <si>
    <t>Cash interest</t>
  </si>
  <si>
    <r>
      <rPr>
        <sz val="11"/>
        <color theme="1"/>
        <rFont val="Calibri"/>
        <family val="2"/>
        <scheme val="minor"/>
      </rPr>
      <t xml:space="preserve"> Nike entered into a 1 year credit facility agreement in 2022. This agreement allowed Nike to borrow up to 1 billion dollars for </t>
    </r>
    <r>
      <rPr>
        <sz val="11"/>
        <color rgb="FF000000"/>
        <rFont val="Calibri"/>
        <family val="2"/>
      </rPr>
      <t xml:space="preserve">the </t>
    </r>
    <r>
      <rPr>
        <sz val="11"/>
        <color theme="1"/>
        <rFont val="Calibri"/>
        <family val="2"/>
        <scheme val="minor"/>
      </rPr>
      <t>year of which 50%(500 million)</t>
    </r>
  </si>
  <si>
    <r>
      <rPr>
        <sz val="11"/>
        <color theme="1"/>
        <rFont val="Calibri"/>
        <family val="2"/>
        <scheme val="minor"/>
      </rPr>
      <t xml:space="preserve"> million) was borrowed. </t>
    </r>
    <r>
      <rPr>
        <sz val="11"/>
        <color rgb="FF000000"/>
        <rFont val="Calibri"/>
        <family val="2"/>
      </rPr>
      <t>A second agreement had also been put in place for 5 years allowing loans of up to 2 billion per year and can be increased up to 3 billion.</t>
    </r>
  </si>
  <si>
    <t xml:space="preserve"> In 2023, a new 1 year agreement for loans up to 1 billion has replaced the prior with an option to increase up to 1.5 billion.</t>
  </si>
  <si>
    <t xml:space="preserve">  </t>
  </si>
  <si>
    <r>
      <rPr>
        <sz val="11"/>
        <color theme="1"/>
        <rFont val="Calibri"/>
        <family val="2"/>
        <scheme val="minor"/>
      </rPr>
      <t xml:space="preserve"> We can conclude that the replacement of the prior agreement and the second agreement las</t>
    </r>
    <r>
      <rPr>
        <sz val="11"/>
        <color rgb="FF000000"/>
        <rFont val="Calibri"/>
        <family val="2"/>
      </rPr>
      <t>t</t>
    </r>
    <r>
      <rPr>
        <sz val="11"/>
        <color theme="1"/>
        <rFont val="Calibri"/>
        <family val="2"/>
        <scheme val="minor"/>
      </rPr>
      <t xml:space="preserve">ing until 2027 , that </t>
    </r>
  </si>
  <si>
    <t xml:space="preserve"> Nike is expecting or intending to borrow large and amounts of capital in the next 5 years. </t>
  </si>
  <si>
    <t xml:space="preserve"> In 2022 Nike borrowed 50% of the capital the credit agreement allowed. </t>
  </si>
  <si>
    <t xml:space="preserve"> We will therefore assume that Nike will potentially attain borrowings of around 50% of the capital that the agreements may provide. </t>
  </si>
  <si>
    <t xml:space="preserve"> This is a valid assumption at this time and has therefore been used in forecasting the following years. A total of 500 million has been forecast for 2022 and I </t>
  </si>
  <si>
    <t xml:space="preserve"> have increased the years after by 4.9% which is also in line with revenue.</t>
  </si>
  <si>
    <t xml:space="preserve">Discrepancy in recorded cash by investing activities + Additions to PP+E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</si>
</sst>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9" formatCode="_-* #,##0_-;\-* #,##0_-;_-* &quot;-&quot;?_-;_-@_-"/>
    <numFmt numFmtId="178" formatCode="_(* #,##0_);_(* \(#,##0\);_(* \-??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theme="1"/>
      <name val="Calibri"/>
      <family val="2"/>
    </font>
    <font>
      <b/>
      <sz val="11"/>
      <color rgb="FF000000"/>
      <name val="Calibri"/>
      <family val="2"/>
    </font>
    <font>
      <sz val="9"/>
      <color rgb="FF000000"/>
      <name val="Calibri"/>
      <family val="2"/>
    </font>
    <font>
      <i/>
      <sz val="9"/>
      <color rgb="FF000000"/>
      <name val="Calibri"/>
      <family val="2"/>
    </font>
    <font>
      <sz val="11"/>
      <color rgb="FF000000"/>
      <name val="Calibri"/>
      <family val="2"/>
    </font>
    <font>
      <sz val="9"/>
      <color theme="1"/>
      <name val="Calibri"/>
      <family val="2"/>
      <scheme val="minor"/>
    </font>
    <font>
      <i/>
      <sz val="10"/>
      <color rgb="FF000000"/>
      <name val="Calibri"/>
      <family val="2"/>
      <charset val="1"/>
    </font>
    <font>
      <sz val="11"/>
      <color rgb="FFFC5C00"/>
      <name val="Calibri"/>
      <family val="2"/>
      <charset val="1"/>
    </font>
    <font>
      <sz val="9"/>
      <color rgb="FFFF0000"/>
      <name val="Calibri"/>
      <family val="2"/>
      <charset val="1"/>
    </font>
    <font>
      <sz val="11"/>
      <color rgb="FFFF0000"/>
      <name val="Calibri"/>
      <family val="2"/>
      <charset val="1"/>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8EA9DB"/>
        <bgColor rgb="FFFFFFFF"/>
      </patternFill>
    </fill>
    <fill>
      <patternFill patternType="solid">
        <fgColor rgb="FF8497B0"/>
        <bgColor rgb="FF000000"/>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1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165" fontId="17" fillId="0" borderId="0" xfId="0" applyNumberFormat="1" applyFont="1"/>
    <xf numFmtId="3" fontId="17" fillId="0" borderId="0" xfId="0" applyNumberFormat="1" applyFont="1"/>
    <xf numFmtId="165" fontId="18" fillId="0" borderId="0" xfId="0" applyNumberFormat="1" applyFont="1" applyAlignment="1">
      <alignment horizontal="left" indent="2"/>
    </xf>
    <xf numFmtId="10" fontId="18" fillId="0" borderId="0" xfId="0" applyNumberFormat="1" applyFont="1"/>
    <xf numFmtId="10" fontId="18" fillId="0" borderId="0" xfId="2" applyNumberFormat="1" applyFont="1" applyFill="1" applyBorder="1"/>
    <xf numFmtId="165" fontId="19" fillId="0" borderId="0" xfId="0" applyNumberFormat="1" applyFont="1" applyAlignment="1">
      <alignment horizontal="left" indent="2"/>
    </xf>
    <xf numFmtId="10" fontId="19" fillId="0" borderId="0" xfId="0" applyNumberFormat="1" applyFont="1"/>
    <xf numFmtId="166" fontId="19" fillId="0" borderId="0" xfId="2" applyNumberFormat="1" applyFont="1" applyFill="1" applyBorder="1"/>
    <xf numFmtId="0" fontId="17" fillId="0" borderId="0" xfId="0" applyFont="1"/>
    <xf numFmtId="1" fontId="17" fillId="0" borderId="0" xfId="0" applyNumberFormat="1" applyFont="1"/>
    <xf numFmtId="10" fontId="16" fillId="0" borderId="0" xfId="0" applyNumberFormat="1" applyFont="1"/>
    <xf numFmtId="166" fontId="16" fillId="0" borderId="0" xfId="2" applyNumberFormat="1" applyFont="1" applyFill="1" applyBorder="1"/>
    <xf numFmtId="165" fontId="19" fillId="0" borderId="0" xfId="0" applyNumberFormat="1" applyFont="1" applyAlignment="1">
      <alignment horizontal="left" indent="1"/>
    </xf>
    <xf numFmtId="166" fontId="16" fillId="0" borderId="0" xfId="0" applyNumberFormat="1" applyFont="1"/>
    <xf numFmtId="10" fontId="16" fillId="0" borderId="0" xfId="2" applyNumberFormat="1" applyFont="1" applyFill="1" applyBorder="1"/>
    <xf numFmtId="1" fontId="17" fillId="0" borderId="0" xfId="0" applyNumberFormat="1" applyFont="1" applyAlignment="1">
      <alignment horizontal="left"/>
    </xf>
    <xf numFmtId="165" fontId="17" fillId="9" borderId="0" xfId="5" applyNumberFormat="1" applyFont="1" applyFill="1" applyBorder="1"/>
    <xf numFmtId="0" fontId="17" fillId="10" borderId="0" xfId="0" applyFont="1" applyFill="1"/>
    <xf numFmtId="165" fontId="17" fillId="0" borderId="0" xfId="1" applyNumberFormat="1" applyFont="1" applyFill="1" applyBorder="1"/>
    <xf numFmtId="165" fontId="19" fillId="0" borderId="0" xfId="1" applyNumberFormat="1" applyFont="1" applyFill="1" applyBorder="1" applyAlignment="1">
      <alignment horizontal="left" indent="2"/>
    </xf>
    <xf numFmtId="10" fontId="20" fillId="0" borderId="0" xfId="2" applyNumberFormat="1" applyFont="1" applyFill="1" applyBorder="1"/>
    <xf numFmtId="165" fontId="17" fillId="0" borderId="0" xfId="1" applyNumberFormat="1" applyFont="1" applyFill="1" applyBorder="1" applyAlignment="1">
      <alignment horizontal="left" indent="1"/>
    </xf>
    <xf numFmtId="165" fontId="19" fillId="0" borderId="0" xfId="1" applyNumberFormat="1" applyFont="1" applyFill="1" applyBorder="1" applyAlignment="1">
      <alignment horizontal="left" indent="1"/>
    </xf>
    <xf numFmtId="1" fontId="17" fillId="0" borderId="0" xfId="2" applyNumberFormat="1" applyFont="1" applyFill="1" applyBorder="1"/>
    <xf numFmtId="0" fontId="16" fillId="0" borderId="0" xfId="0" applyFont="1"/>
    <xf numFmtId="164" fontId="17" fillId="0" borderId="0" xfId="1" applyFont="1"/>
    <xf numFmtId="165" fontId="0" fillId="0" borderId="4" xfId="0" applyNumberFormat="1" applyBorder="1"/>
    <xf numFmtId="165" fontId="0" fillId="0" borderId="0" xfId="0" applyNumberFormat="1" applyBorder="1"/>
    <xf numFmtId="0" fontId="6" fillId="4" borderId="0" xfId="4" applyNumberFormat="1" applyFont="1" applyBorder="1" applyAlignment="1">
      <alignment horizontal="left"/>
    </xf>
    <xf numFmtId="169" fontId="2" fillId="0" borderId="0" xfId="1" applyNumberFormat="1" applyFont="1"/>
    <xf numFmtId="9" fontId="2" fillId="0" borderId="0" xfId="2" applyFont="1" applyBorder="1"/>
    <xf numFmtId="0" fontId="15" fillId="8" borderId="0" xfId="2" applyNumberFormat="1" applyFont="1" applyFill="1"/>
    <xf numFmtId="0" fontId="0" fillId="0" borderId="0" xfId="0" applyNumberFormat="1"/>
    <xf numFmtId="0" fontId="21" fillId="0" borderId="0" xfId="1" applyNumberFormat="1" applyFont="1" applyAlignment="1">
      <alignment horizontal="left"/>
    </xf>
    <xf numFmtId="1" fontId="13" fillId="0" borderId="0" xfId="2" applyNumberFormat="1" applyFont="1" applyAlignment="1">
      <alignment horizontal="right"/>
    </xf>
    <xf numFmtId="166" fontId="0" fillId="0" borderId="0" xfId="2" applyNumberFormat="1" applyFont="1"/>
    <xf numFmtId="166" fontId="22" fillId="0" borderId="0" xfId="2" applyNumberFormat="1" applyFont="1" applyBorder="1" applyAlignment="1" applyProtection="1">
      <alignment horizontal="right"/>
    </xf>
    <xf numFmtId="166" fontId="22" fillId="0" borderId="5" xfId="2" applyNumberFormat="1" applyFont="1" applyBorder="1" applyAlignment="1" applyProtection="1">
      <alignment horizontal="right"/>
    </xf>
    <xf numFmtId="0" fontId="0" fillId="0" borderId="5" xfId="0" applyBorder="1"/>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10" fontId="0" fillId="0" borderId="0" xfId="0" applyNumberFormat="1"/>
    <xf numFmtId="0" fontId="0" fillId="0" borderId="0" xfId="0" applyFill="1"/>
    <xf numFmtId="178" fontId="1" fillId="0" borderId="0" xfId="1" applyNumberFormat="1" applyBorder="1" applyProtection="1"/>
    <xf numFmtId="178" fontId="1" fillId="0" borderId="5" xfId="1" applyNumberFormat="1" applyBorder="1" applyProtection="1"/>
    <xf numFmtId="178" fontId="23" fillId="0" borderId="0" xfId="1" applyNumberFormat="1" applyFont="1" applyBorder="1" applyProtection="1"/>
    <xf numFmtId="178" fontId="23" fillId="0" borderId="5" xfId="1" applyNumberFormat="1" applyFont="1" applyBorder="1" applyProtection="1"/>
    <xf numFmtId="0" fontId="24" fillId="0" borderId="0" xfId="0" applyFont="1" applyAlignment="1">
      <alignment horizontal="center" wrapText="1"/>
    </xf>
    <xf numFmtId="164" fontId="25" fillId="0" borderId="0" xfId="1" applyFont="1" applyBorder="1" applyProtection="1"/>
    <xf numFmtId="165" fontId="5" fillId="0" borderId="0" xfId="1" applyNumberFormat="1" applyFont="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1709895846_Task%2012%20-%20Forecasting%20the%20Operationtal%20Model.xlsx" TargetMode="External"/><Relationship Id="rId1" Type="http://schemas.openxmlformats.org/officeDocument/2006/relationships/externalLinkPath" Target="1709895846_Task%2012%20-%20Forecasting%20the%20Operationtal%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erka\OneDrive\Documents\Quil%20capital\1709895812_Task%2011%20-%20Linking%20Cash%20Flow%20Statement.xlsx" TargetMode="External"/><Relationship Id="rId1" Type="http://schemas.openxmlformats.org/officeDocument/2006/relationships/externalLinkPath" Target="1709895812_Task%2011%20-%20Linking%20Cash%20Flow%20Statement.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348c18b44a40d55c/Documents/Quil%20capital/1709895789_Task%2010%20-%20Linking%20Balance%20sheet.xlsx" TargetMode="External"/><Relationship Id="rId1" Type="http://schemas.openxmlformats.org/officeDocument/2006/relationships/externalLinkPath" Target="1709895789_Task%2010%20-%20Linking%20Balanc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row>
      </sheetData>
      <sheetData sheetId="2">
        <row r="3">
          <cell r="B3">
            <v>30601</v>
          </cell>
        </row>
        <row r="8">
          <cell r="J8">
            <v>752.13300000000004</v>
          </cell>
          <cell r="K8">
            <v>788.9875169999998</v>
          </cell>
          <cell r="L8">
            <v>827.64790533299981</v>
          </cell>
          <cell r="M8">
            <v>868.20265269431684</v>
          </cell>
          <cell r="N8">
            <v>910.74458267633827</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11">
          <cell r="B11">
            <v>932</v>
          </cell>
          <cell r="C11">
            <v>863</v>
          </cell>
          <cell r="D11">
            <v>646</v>
          </cell>
          <cell r="E11">
            <v>2392</v>
          </cell>
          <cell r="F11">
            <v>772</v>
          </cell>
          <cell r="G11">
            <v>348</v>
          </cell>
          <cell r="H11">
            <v>934</v>
          </cell>
          <cell r="I11">
            <v>605</v>
          </cell>
        </row>
        <row r="18">
          <cell r="B18">
            <v>1768.8</v>
          </cell>
          <cell r="C18">
            <v>1742.5</v>
          </cell>
          <cell r="D18">
            <v>1692</v>
          </cell>
          <cell r="E18">
            <v>1659.1</v>
          </cell>
          <cell r="F18">
            <v>1618.4</v>
          </cell>
          <cell r="G18">
            <v>1591.6</v>
          </cell>
          <cell r="H18">
            <v>1609.4</v>
          </cell>
        </row>
        <row r="25">
          <cell r="B25">
            <v>3852</v>
          </cell>
          <cell r="C25">
            <v>3138</v>
          </cell>
          <cell r="D25">
            <v>3808</v>
          </cell>
          <cell r="E25">
            <v>4249</v>
          </cell>
          <cell r="F25">
            <v>4466</v>
          </cell>
          <cell r="G25">
            <v>8348</v>
          </cell>
          <cell r="H25">
            <v>9889</v>
          </cell>
          <cell r="I25">
            <v>8574</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32">
          <cell r="B32">
            <v>3011</v>
          </cell>
          <cell r="C32">
            <v>3520</v>
          </cell>
          <cell r="D32">
            <v>3989</v>
          </cell>
          <cell r="E32">
            <v>4454</v>
          </cell>
          <cell r="F32">
            <v>4744</v>
          </cell>
          <cell r="G32">
            <v>4866</v>
          </cell>
          <cell r="H32">
            <v>4904</v>
          </cell>
          <cell r="I32">
            <v>4791</v>
          </cell>
        </row>
        <row r="33">
          <cell r="B33">
            <v>0</v>
          </cell>
          <cell r="C33">
            <v>0</v>
          </cell>
          <cell r="D33">
            <v>0</v>
          </cell>
          <cell r="E33">
            <v>0</v>
          </cell>
          <cell r="F33">
            <v>0</v>
          </cell>
          <cell r="G33">
            <v>3097</v>
          </cell>
          <cell r="H33">
            <v>3113</v>
          </cell>
          <cell r="I33">
            <v>2926</v>
          </cell>
        </row>
        <row r="34">
          <cell r="B34">
            <v>281</v>
          </cell>
          <cell r="C34">
            <v>281</v>
          </cell>
          <cell r="D34">
            <v>283</v>
          </cell>
          <cell r="E34">
            <v>285</v>
          </cell>
          <cell r="F34">
            <v>283</v>
          </cell>
          <cell r="G34">
            <v>274</v>
          </cell>
          <cell r="H34">
            <v>269</v>
          </cell>
          <cell r="I34">
            <v>286</v>
          </cell>
        </row>
        <row r="35">
          <cell r="B35">
            <v>131</v>
          </cell>
          <cell r="C35">
            <v>131</v>
          </cell>
          <cell r="D35">
            <v>139</v>
          </cell>
          <cell r="E35">
            <v>154</v>
          </cell>
          <cell r="F35">
            <v>154</v>
          </cell>
          <cell r="G35">
            <v>223</v>
          </cell>
          <cell r="H35">
            <v>242</v>
          </cell>
          <cell r="I35">
            <v>284</v>
          </cell>
        </row>
        <row r="40">
          <cell r="B40">
            <v>107</v>
          </cell>
          <cell r="C40">
            <v>44</v>
          </cell>
          <cell r="D40">
            <v>6</v>
          </cell>
          <cell r="E40">
            <v>6</v>
          </cell>
          <cell r="F40">
            <v>6</v>
          </cell>
          <cell r="G40">
            <v>3</v>
          </cell>
          <cell r="H40">
            <v>0</v>
          </cell>
          <cell r="I40">
            <v>500</v>
          </cell>
        </row>
        <row r="42">
          <cell r="B42">
            <v>2131</v>
          </cell>
          <cell r="C42">
            <v>2191</v>
          </cell>
          <cell r="D42">
            <v>2048</v>
          </cell>
          <cell r="E42">
            <v>2279</v>
          </cell>
          <cell r="F42">
            <v>2612</v>
          </cell>
          <cell r="G42">
            <v>2248</v>
          </cell>
          <cell r="H42">
            <v>2836</v>
          </cell>
          <cell r="I42">
            <v>3358</v>
          </cell>
        </row>
        <row r="47">
          <cell r="B47">
            <v>1079</v>
          </cell>
          <cell r="C47">
            <v>2010</v>
          </cell>
          <cell r="D47">
            <v>3471</v>
          </cell>
          <cell r="E47">
            <v>3468</v>
          </cell>
          <cell r="F47">
            <v>3464</v>
          </cell>
          <cell r="G47">
            <v>9406</v>
          </cell>
          <cell r="H47">
            <v>9413</v>
          </cell>
          <cell r="I47">
            <v>8920</v>
          </cell>
        </row>
        <row r="48">
          <cell r="B48">
            <v>0</v>
          </cell>
          <cell r="C48">
            <v>0</v>
          </cell>
          <cell r="D48">
            <v>0</v>
          </cell>
          <cell r="E48">
            <v>0</v>
          </cell>
          <cell r="F48">
            <v>0</v>
          </cell>
          <cell r="G48">
            <v>2913</v>
          </cell>
          <cell r="H48">
            <v>2931</v>
          </cell>
          <cell r="I48">
            <v>2777</v>
          </cell>
        </row>
        <row r="55">
          <cell r="B55">
            <v>3</v>
          </cell>
          <cell r="C55">
            <v>3</v>
          </cell>
          <cell r="D55">
            <v>3</v>
          </cell>
          <cell r="E55">
            <v>3</v>
          </cell>
          <cell r="F55">
            <v>3</v>
          </cell>
          <cell r="G55">
            <v>3</v>
          </cell>
          <cell r="H55">
            <v>3</v>
          </cell>
          <cell r="I55">
            <v>3</v>
          </cell>
        </row>
        <row r="57">
          <cell r="B57">
            <v>1246</v>
          </cell>
          <cell r="C57">
            <v>318</v>
          </cell>
          <cell r="D57">
            <v>-213</v>
          </cell>
          <cell r="E57">
            <v>-92</v>
          </cell>
          <cell r="F57">
            <v>231</v>
          </cell>
          <cell r="G57">
            <v>-56</v>
          </cell>
          <cell r="H57">
            <v>-380</v>
          </cell>
          <cell r="I57">
            <v>318</v>
          </cell>
        </row>
        <row r="58">
          <cell r="B58">
            <v>4685</v>
          </cell>
          <cell r="C58">
            <v>4151</v>
          </cell>
          <cell r="D58">
            <v>6907</v>
          </cell>
          <cell r="E58">
            <v>3517</v>
          </cell>
          <cell r="F58">
            <v>1643</v>
          </cell>
          <cell r="G58">
            <v>-191</v>
          </cell>
          <cell r="H58">
            <v>3179</v>
          </cell>
          <cell r="I58">
            <v>3476</v>
          </cell>
        </row>
        <row r="95">
          <cell r="B95">
            <v>-899</v>
          </cell>
          <cell r="C95">
            <v>-22</v>
          </cell>
          <cell r="D95">
            <v>-29</v>
          </cell>
          <cell r="E95">
            <v>-55</v>
          </cell>
          <cell r="F95">
            <v>-1332</v>
          </cell>
          <cell r="G95">
            <v>-1452</v>
          </cell>
          <cell r="H95">
            <v>-1638</v>
          </cell>
          <cell r="I95">
            <v>-1837</v>
          </cell>
        </row>
        <row r="98">
          <cell r="B98">
            <v>-83</v>
          </cell>
          <cell r="C98">
            <v>-105</v>
          </cell>
          <cell r="D98">
            <v>-20</v>
          </cell>
          <cell r="E98">
            <v>45</v>
          </cell>
          <cell r="F98">
            <v>-129</v>
          </cell>
          <cell r="G98">
            <v>-66</v>
          </cell>
          <cell r="H98">
            <v>143</v>
          </cell>
          <cell r="I98">
            <v>-143</v>
          </cell>
        </row>
        <row r="100">
          <cell r="B100">
            <v>2220</v>
          </cell>
          <cell r="C100">
            <v>3852</v>
          </cell>
          <cell r="D100">
            <v>3138</v>
          </cell>
          <cell r="E100">
            <v>3808</v>
          </cell>
          <cell r="F100">
            <v>4249</v>
          </cell>
          <cell r="G100">
            <v>4466</v>
          </cell>
          <cell r="H100">
            <v>8348</v>
          </cell>
          <cell r="I100">
            <v>9889</v>
          </cell>
        </row>
      </sheetData>
      <sheetData sheetId="2"/>
      <sheetData sheetId="3">
        <row r="53">
          <cell r="B53">
            <v>2511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sheetData sheetId="2"/>
      <sheetData sheetId="3">
        <row r="15">
          <cell r="I15">
            <v>1610.8</v>
          </cell>
        </row>
        <row r="18">
          <cell r="B18" t="str">
            <v>nm</v>
          </cell>
          <cell r="C18">
            <v>-0.98757950408791528</v>
          </cell>
          <cell r="D18">
            <v>0.35752471523748142</v>
          </cell>
          <cell r="E18">
            <v>0.93416039855426392</v>
          </cell>
          <cell r="F18">
            <v>23.827227789511525</v>
          </cell>
          <cell r="G18">
            <v>0.10844546481641237</v>
          </cell>
          <cell r="H18">
            <v>0.11562237146023313</v>
          </cell>
          <cell r="I18">
            <v>0.12051489745803123</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0" sqref="A10:A22"/>
    </sheetView>
  </sheetViews>
  <sheetFormatPr defaultRowHeight="15" x14ac:dyDescent="0.25"/>
  <cols>
    <col min="1" max="1" width="176.140625" style="19" customWidth="1"/>
  </cols>
  <sheetData>
    <row r="1" spans="1:1" ht="23.25" x14ac:dyDescent="0.35">
      <c r="A1" s="18" t="s">
        <v>20</v>
      </c>
    </row>
    <row r="2" spans="1:1" x14ac:dyDescent="0.25">
      <c r="A2" t="s">
        <v>218</v>
      </c>
    </row>
    <row r="3" spans="1:1" x14ac:dyDescent="0.25">
      <c r="A3" s="1" t="s">
        <v>148</v>
      </c>
    </row>
    <row r="4" spans="1:1" x14ac:dyDescent="0.25">
      <c r="A4" s="56" t="s">
        <v>217</v>
      </c>
    </row>
    <row r="5" spans="1:1" x14ac:dyDescent="0.25">
      <c r="A5" t="s">
        <v>211</v>
      </c>
    </row>
    <row r="6" spans="1:1" x14ac:dyDescent="0.25">
      <c r="A6" t="s">
        <v>212</v>
      </c>
    </row>
    <row r="7" spans="1:1" x14ac:dyDescent="0.25">
      <c r="A7" t="s">
        <v>215</v>
      </c>
    </row>
    <row r="8" spans="1:1" x14ac:dyDescent="0.25">
      <c r="A8"/>
    </row>
    <row r="9" spans="1:1" x14ac:dyDescent="0.25">
      <c r="A9" s="1"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213</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row>
    <row r="24" spans="1:1" x14ac:dyDescent="0.25">
      <c r="A24" t="s">
        <v>219</v>
      </c>
    </row>
    <row r="26" spans="1:1" x14ac:dyDescent="0.25">
      <c r="A26" s="1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9"/>
  <sheetViews>
    <sheetView zoomScale="90" zoomScaleNormal="90" workbookViewId="0">
      <pane ySplit="1" topLeftCell="A41" activePane="bottomLeft" state="frozen"/>
      <selection pane="bottomLeft" activeCell="F92" sqref="F92"/>
    </sheetView>
  </sheetViews>
  <sheetFormatPr defaultRowHeight="15" x14ac:dyDescent="0.25"/>
  <cols>
    <col min="1" max="1" width="78.140625" customWidth="1"/>
    <col min="2" max="7" width="9" bestFit="1" customWidth="1"/>
    <col min="8" max="8" width="10.42578125" bestFit="1" customWidth="1"/>
    <col min="9" max="9" width="10.7109375" bestFit="1" customWidth="1"/>
    <col min="11" max="11" width="11.140625" bestFit="1" customWidth="1"/>
  </cols>
  <sheetData>
    <row r="1" spans="1:11"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11" x14ac:dyDescent="0.25">
      <c r="A2" t="s">
        <v>27</v>
      </c>
      <c r="B2" s="3">
        <v>30601</v>
      </c>
      <c r="C2" s="3">
        <v>32376</v>
      </c>
      <c r="D2" s="3">
        <v>34350</v>
      </c>
      <c r="E2" s="3">
        <v>36397</v>
      </c>
      <c r="F2" s="3">
        <v>39117</v>
      </c>
      <c r="G2" s="3">
        <v>37403</v>
      </c>
      <c r="H2" s="3">
        <v>44538</v>
      </c>
      <c r="I2" s="3">
        <v>46710</v>
      </c>
      <c r="K2" s="3">
        <v>27799</v>
      </c>
    </row>
    <row r="3" spans="1:11" x14ac:dyDescent="0.25">
      <c r="A3" s="22" t="s">
        <v>28</v>
      </c>
      <c r="B3" s="23">
        <v>16534</v>
      </c>
      <c r="C3" s="23">
        <v>17405</v>
      </c>
      <c r="D3" s="23">
        <v>19038</v>
      </c>
      <c r="E3" s="23">
        <v>20441</v>
      </c>
      <c r="F3" s="23">
        <v>21643</v>
      </c>
      <c r="G3" s="23">
        <v>21162</v>
      </c>
      <c r="H3" s="23">
        <v>24576</v>
      </c>
      <c r="I3" s="23">
        <v>25231</v>
      </c>
    </row>
    <row r="4" spans="1:11"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11" x14ac:dyDescent="0.25">
      <c r="A5" s="11" t="s">
        <v>21</v>
      </c>
      <c r="B5" s="3">
        <v>3213</v>
      </c>
      <c r="C5" s="3">
        <v>3278</v>
      </c>
      <c r="D5" s="3">
        <v>3341</v>
      </c>
      <c r="E5" s="3">
        <v>3577</v>
      </c>
      <c r="F5" s="3">
        <v>3753</v>
      </c>
      <c r="G5" s="3">
        <v>3592</v>
      </c>
      <c r="H5" s="3">
        <v>3114</v>
      </c>
      <c r="I5" s="3">
        <v>3850</v>
      </c>
    </row>
    <row r="6" spans="1:11" x14ac:dyDescent="0.25">
      <c r="A6" s="11" t="s">
        <v>22</v>
      </c>
      <c r="B6" s="3">
        <v>6679</v>
      </c>
      <c r="C6" s="3">
        <v>7191</v>
      </c>
      <c r="D6" s="3">
        <v>7222</v>
      </c>
      <c r="E6" s="3">
        <v>7934</v>
      </c>
      <c r="F6" s="3">
        <v>8949</v>
      </c>
      <c r="G6" s="3">
        <v>9534</v>
      </c>
      <c r="H6" s="3">
        <v>9911</v>
      </c>
      <c r="I6" s="3">
        <v>10954</v>
      </c>
    </row>
    <row r="7" spans="1:11"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11" x14ac:dyDescent="0.25">
      <c r="A8" s="2" t="s">
        <v>24</v>
      </c>
      <c r="B8" s="3">
        <v>28</v>
      </c>
      <c r="C8" s="3">
        <v>19</v>
      </c>
      <c r="D8" s="3">
        <v>59</v>
      </c>
      <c r="E8" s="3">
        <v>54</v>
      </c>
      <c r="F8" s="3">
        <v>49</v>
      </c>
      <c r="G8" s="3">
        <v>89</v>
      </c>
      <c r="H8" s="3">
        <v>262</v>
      </c>
      <c r="I8" s="3">
        <v>205</v>
      </c>
    </row>
    <row r="9" spans="1:11" x14ac:dyDescent="0.25">
      <c r="A9" s="2" t="s">
        <v>5</v>
      </c>
      <c r="B9" s="3">
        <v>-58</v>
      </c>
      <c r="C9" s="3">
        <v>-140</v>
      </c>
      <c r="D9" s="3">
        <v>-196</v>
      </c>
      <c r="E9" s="3">
        <v>66</v>
      </c>
      <c r="F9" s="3">
        <v>-78</v>
      </c>
      <c r="G9" s="3">
        <v>139</v>
      </c>
      <c r="H9" s="3">
        <v>14</v>
      </c>
      <c r="I9" s="3">
        <v>-181</v>
      </c>
    </row>
    <row r="10" spans="1:11"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v>3577</v>
      </c>
    </row>
    <row r="11" spans="1:11" x14ac:dyDescent="0.25">
      <c r="A11" s="2" t="s">
        <v>26</v>
      </c>
      <c r="B11" s="3">
        <v>932</v>
      </c>
      <c r="C11" s="3">
        <v>863</v>
      </c>
      <c r="D11" s="3">
        <v>646</v>
      </c>
      <c r="E11" s="3">
        <v>2392</v>
      </c>
      <c r="F11" s="3">
        <v>772</v>
      </c>
      <c r="G11" s="3">
        <v>348</v>
      </c>
      <c r="H11" s="3">
        <v>934</v>
      </c>
      <c r="I11" s="3">
        <v>605</v>
      </c>
    </row>
    <row r="12" spans="1:11"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11" ht="15.75" thickTop="1" x14ac:dyDescent="0.25">
      <c r="A13" s="1" t="s">
        <v>8</v>
      </c>
    </row>
    <row r="14" spans="1:11" x14ac:dyDescent="0.25">
      <c r="A14" s="2" t="s">
        <v>6</v>
      </c>
      <c r="B14">
        <v>3.8</v>
      </c>
      <c r="C14">
        <v>2.21</v>
      </c>
      <c r="D14">
        <v>2.56</v>
      </c>
      <c r="E14">
        <v>1.19</v>
      </c>
      <c r="F14">
        <v>2.5499999999999998</v>
      </c>
      <c r="G14">
        <v>1.63</v>
      </c>
      <c r="H14">
        <v>3.64</v>
      </c>
      <c r="I14">
        <v>3.83</v>
      </c>
      <c r="K14">
        <v>3.05</v>
      </c>
    </row>
    <row r="15" spans="1:11" x14ac:dyDescent="0.25">
      <c r="A15" s="2" t="s">
        <v>7</v>
      </c>
      <c r="B15">
        <v>3.7</v>
      </c>
      <c r="C15">
        <v>2.16</v>
      </c>
      <c r="D15">
        <v>2.5099999999999998</v>
      </c>
      <c r="E15">
        <v>1.17</v>
      </c>
      <c r="F15">
        <v>2.4900000000000002</v>
      </c>
      <c r="G15">
        <v>1.6</v>
      </c>
      <c r="H15">
        <v>3.56</v>
      </c>
      <c r="I15">
        <v>3.75</v>
      </c>
      <c r="K15">
        <v>2.97</v>
      </c>
    </row>
    <row r="16" spans="1:11" x14ac:dyDescent="0.25">
      <c r="A16" s="1" t="s">
        <v>9</v>
      </c>
    </row>
    <row r="17" spans="1:11" x14ac:dyDescent="0.25">
      <c r="A17" s="2" t="s">
        <v>6</v>
      </c>
      <c r="B17">
        <v>861.7</v>
      </c>
      <c r="C17">
        <v>1697.9</v>
      </c>
      <c r="D17">
        <v>1657.8</v>
      </c>
      <c r="E17">
        <v>1623.8</v>
      </c>
      <c r="F17">
        <v>1579.7</v>
      </c>
      <c r="G17" s="8">
        <v>1558.8</v>
      </c>
      <c r="H17" s="8">
        <v>1573</v>
      </c>
      <c r="I17" s="8">
        <v>1578.8</v>
      </c>
      <c r="K17" s="8">
        <v>883</v>
      </c>
    </row>
    <row r="18" spans="1:11" x14ac:dyDescent="0.25">
      <c r="A18" s="2" t="s">
        <v>7</v>
      </c>
      <c r="B18">
        <v>884.4</v>
      </c>
      <c r="C18">
        <v>1742.5</v>
      </c>
      <c r="D18">
        <v>1692</v>
      </c>
      <c r="E18">
        <v>1659.1</v>
      </c>
      <c r="F18">
        <v>1618.4</v>
      </c>
      <c r="G18" s="8">
        <v>1591.6</v>
      </c>
      <c r="H18" s="8">
        <v>1609.4</v>
      </c>
      <c r="I18" s="8">
        <v>1610.8</v>
      </c>
      <c r="K18" s="8">
        <v>905</v>
      </c>
    </row>
    <row r="20" spans="1:11"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11" x14ac:dyDescent="0.25">
      <c r="A22" s="14" t="s">
        <v>0</v>
      </c>
      <c r="B22" s="14"/>
      <c r="C22" s="14"/>
      <c r="D22" s="14"/>
      <c r="E22" s="14"/>
      <c r="F22" s="14"/>
      <c r="G22" s="14"/>
      <c r="H22" s="14"/>
      <c r="I22" s="14"/>
      <c r="K22">
        <v>2014</v>
      </c>
    </row>
    <row r="23" spans="1:11" x14ac:dyDescent="0.25">
      <c r="A23" s="1" t="s">
        <v>30</v>
      </c>
    </row>
    <row r="24" spans="1:11" x14ac:dyDescent="0.25">
      <c r="A24" s="10" t="s">
        <v>31</v>
      </c>
      <c r="B24" s="3"/>
      <c r="C24" s="3"/>
      <c r="D24" s="3"/>
      <c r="E24" s="3"/>
      <c r="F24" s="3"/>
      <c r="G24" s="3"/>
      <c r="H24" s="3"/>
      <c r="I24" s="3"/>
    </row>
    <row r="25" spans="1:11" x14ac:dyDescent="0.25">
      <c r="A25" s="11" t="s">
        <v>32</v>
      </c>
      <c r="B25" s="3">
        <v>3852</v>
      </c>
      <c r="C25" s="3">
        <v>3138</v>
      </c>
      <c r="D25" s="3">
        <v>3808</v>
      </c>
      <c r="E25" s="3">
        <v>4249</v>
      </c>
      <c r="F25" s="3">
        <v>4466</v>
      </c>
      <c r="G25" s="3">
        <v>8348</v>
      </c>
      <c r="H25" s="3">
        <v>9889</v>
      </c>
      <c r="I25" s="3">
        <v>8574</v>
      </c>
    </row>
    <row r="26" spans="1:11" x14ac:dyDescent="0.25">
      <c r="A26" s="11" t="s">
        <v>33</v>
      </c>
      <c r="B26" s="3">
        <v>2072</v>
      </c>
      <c r="C26" s="3">
        <v>2319</v>
      </c>
      <c r="D26" s="3">
        <v>2371</v>
      </c>
      <c r="E26" s="3">
        <v>996</v>
      </c>
      <c r="F26" s="3">
        <v>197</v>
      </c>
      <c r="G26" s="3">
        <v>439</v>
      </c>
      <c r="H26" s="3">
        <v>3587</v>
      </c>
      <c r="I26" s="3">
        <v>4423</v>
      </c>
    </row>
    <row r="27" spans="1:11" x14ac:dyDescent="0.25">
      <c r="A27" s="11" t="s">
        <v>34</v>
      </c>
      <c r="B27" s="3">
        <v>3358</v>
      </c>
      <c r="C27" s="3">
        <v>3241</v>
      </c>
      <c r="D27" s="3">
        <v>3677</v>
      </c>
      <c r="E27" s="3">
        <v>3498</v>
      </c>
      <c r="F27" s="3">
        <v>4272</v>
      </c>
      <c r="G27" s="3">
        <v>2749</v>
      </c>
      <c r="H27" s="3">
        <v>4463</v>
      </c>
      <c r="I27" s="3">
        <v>4667</v>
      </c>
      <c r="K27" s="3">
        <v>3434</v>
      </c>
    </row>
    <row r="28" spans="1:11" x14ac:dyDescent="0.25">
      <c r="A28" s="11" t="s">
        <v>35</v>
      </c>
      <c r="B28" s="3">
        <v>4337</v>
      </c>
      <c r="C28" s="3">
        <v>4838</v>
      </c>
      <c r="D28" s="3">
        <v>5055</v>
      </c>
      <c r="E28" s="3">
        <v>5261</v>
      </c>
      <c r="F28" s="3">
        <v>5622</v>
      </c>
      <c r="G28" s="3">
        <v>7367</v>
      </c>
      <c r="H28" s="3">
        <v>6854</v>
      </c>
      <c r="I28" s="3">
        <v>8420</v>
      </c>
      <c r="K28" s="3">
        <v>3947</v>
      </c>
    </row>
    <row r="29" spans="1:11" x14ac:dyDescent="0.25">
      <c r="A29" s="11" t="s">
        <v>220</v>
      </c>
      <c r="B29" s="3">
        <v>389</v>
      </c>
      <c r="C29" s="3">
        <v>0</v>
      </c>
      <c r="D29" s="3">
        <v>0</v>
      </c>
      <c r="E29" s="3">
        <v>0</v>
      </c>
      <c r="F29" s="3">
        <v>0</v>
      </c>
      <c r="G29" s="3">
        <v>0</v>
      </c>
      <c r="H29" s="3"/>
      <c r="I29" s="3"/>
    </row>
    <row r="30" spans="1:11" x14ac:dyDescent="0.25">
      <c r="A30" s="11" t="s">
        <v>36</v>
      </c>
      <c r="B30" s="3">
        <v>1968</v>
      </c>
      <c r="C30" s="3">
        <v>1489</v>
      </c>
      <c r="D30" s="3">
        <v>1150</v>
      </c>
      <c r="E30" s="3">
        <v>1130</v>
      </c>
      <c r="F30" s="3">
        <v>1968</v>
      </c>
      <c r="G30" s="3">
        <v>1653</v>
      </c>
      <c r="H30" s="3">
        <v>1498</v>
      </c>
      <c r="I30" s="3">
        <v>2129</v>
      </c>
    </row>
    <row r="31" spans="1:11" x14ac:dyDescent="0.25">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11" x14ac:dyDescent="0.25">
      <c r="A32" s="2" t="s">
        <v>37</v>
      </c>
      <c r="B32" s="3">
        <v>3011</v>
      </c>
      <c r="C32" s="3">
        <v>3520</v>
      </c>
      <c r="D32" s="3">
        <v>3989</v>
      </c>
      <c r="E32" s="3">
        <v>4454</v>
      </c>
      <c r="F32" s="3">
        <v>4744</v>
      </c>
      <c r="G32" s="3">
        <v>4866</v>
      </c>
      <c r="H32" s="3">
        <v>4904</v>
      </c>
      <c r="I32" s="3">
        <v>4791</v>
      </c>
    </row>
    <row r="33" spans="1:11" x14ac:dyDescent="0.25">
      <c r="A33" s="2" t="s">
        <v>38</v>
      </c>
      <c r="B33" s="3">
        <v>0</v>
      </c>
      <c r="C33" s="3">
        <v>0</v>
      </c>
      <c r="D33" s="3">
        <v>0</v>
      </c>
      <c r="E33" s="3">
        <v>0</v>
      </c>
      <c r="F33" s="3">
        <v>0</v>
      </c>
      <c r="G33" s="3">
        <v>3097</v>
      </c>
      <c r="H33" s="3">
        <v>3113</v>
      </c>
      <c r="I33" s="3">
        <v>2926</v>
      </c>
    </row>
    <row r="34" spans="1:11" x14ac:dyDescent="0.25">
      <c r="A34" s="2" t="s">
        <v>39</v>
      </c>
      <c r="B34" s="3">
        <v>281</v>
      </c>
      <c r="C34" s="3">
        <v>281</v>
      </c>
      <c r="D34" s="3">
        <v>283</v>
      </c>
      <c r="E34" s="3">
        <v>285</v>
      </c>
      <c r="F34" s="3">
        <v>283</v>
      </c>
      <c r="G34" s="3">
        <v>274</v>
      </c>
      <c r="H34" s="3">
        <v>269</v>
      </c>
      <c r="I34" s="3">
        <v>286</v>
      </c>
    </row>
    <row r="35" spans="1:11" x14ac:dyDescent="0.25">
      <c r="A35" s="2" t="s">
        <v>40</v>
      </c>
      <c r="B35" s="3">
        <v>131</v>
      </c>
      <c r="C35" s="3">
        <v>131</v>
      </c>
      <c r="D35" s="3">
        <v>139</v>
      </c>
      <c r="E35" s="3">
        <v>154</v>
      </c>
      <c r="F35" s="3">
        <v>154</v>
      </c>
      <c r="G35" s="3">
        <v>223</v>
      </c>
      <c r="H35" s="3">
        <v>242</v>
      </c>
      <c r="I35" s="3">
        <v>284</v>
      </c>
    </row>
    <row r="36" spans="1:11" x14ac:dyDescent="0.25">
      <c r="A36" s="2" t="s">
        <v>41</v>
      </c>
      <c r="B36" s="3">
        <v>2201</v>
      </c>
      <c r="C36" s="3">
        <v>2439</v>
      </c>
      <c r="D36" s="3">
        <v>2787</v>
      </c>
      <c r="E36" s="3">
        <v>2509</v>
      </c>
      <c r="F36" s="3">
        <v>2011</v>
      </c>
      <c r="G36" s="3">
        <v>2326</v>
      </c>
      <c r="H36" s="3">
        <v>2921</v>
      </c>
      <c r="I36" s="3">
        <v>3821</v>
      </c>
    </row>
    <row r="37" spans="1:11" ht="15.75" thickBot="1" x14ac:dyDescent="0.3">
      <c r="A37" s="6" t="s">
        <v>42</v>
      </c>
      <c r="B37" s="7">
        <f t="shared" ref="B37:H37" si="7">+SUM(B31:B36)</f>
        <v>21600</v>
      </c>
      <c r="C37" s="7">
        <f t="shared" si="7"/>
        <v>21396</v>
      </c>
      <c r="D37" s="7">
        <f t="shared" si="7"/>
        <v>23259</v>
      </c>
      <c r="E37" s="7">
        <f t="shared" si="7"/>
        <v>22536</v>
      </c>
      <c r="F37" s="7">
        <f t="shared" si="7"/>
        <v>23717</v>
      </c>
      <c r="G37" s="7">
        <f t="shared" si="7"/>
        <v>31342</v>
      </c>
      <c r="H37" s="7">
        <f t="shared" si="7"/>
        <v>37740</v>
      </c>
      <c r="I37" s="7">
        <f>+SUM(I31:I36)</f>
        <v>40321</v>
      </c>
      <c r="K37">
        <v>21954</v>
      </c>
    </row>
    <row r="38" spans="1:11" ht="15.75" thickTop="1" x14ac:dyDescent="0.25">
      <c r="A38" s="1" t="s">
        <v>43</v>
      </c>
      <c r="B38" s="3"/>
      <c r="C38" s="3"/>
      <c r="D38" s="3"/>
      <c r="E38" s="3"/>
      <c r="F38" s="3"/>
      <c r="G38" s="3"/>
      <c r="H38" s="3"/>
      <c r="I38" s="3"/>
    </row>
    <row r="39" spans="1:11" x14ac:dyDescent="0.25">
      <c r="A39" s="2" t="s">
        <v>44</v>
      </c>
      <c r="B39" s="3"/>
      <c r="C39" s="3"/>
      <c r="D39" s="3"/>
      <c r="E39" s="3"/>
      <c r="F39" s="3"/>
      <c r="G39" s="3"/>
      <c r="H39" s="3"/>
      <c r="I39" s="3"/>
    </row>
    <row r="40" spans="1:11" x14ac:dyDescent="0.25">
      <c r="A40" s="11" t="s">
        <v>45</v>
      </c>
      <c r="B40" s="3">
        <v>107</v>
      </c>
      <c r="C40" s="3">
        <v>44</v>
      </c>
      <c r="D40" s="3">
        <v>6</v>
      </c>
      <c r="E40" s="3">
        <v>6</v>
      </c>
      <c r="F40" s="3">
        <v>6</v>
      </c>
      <c r="G40" s="3">
        <v>3</v>
      </c>
      <c r="H40" s="3">
        <v>0</v>
      </c>
      <c r="I40" s="3">
        <v>500</v>
      </c>
    </row>
    <row r="41" spans="1:11" x14ac:dyDescent="0.25">
      <c r="A41" s="11" t="s">
        <v>46</v>
      </c>
      <c r="B41" s="3">
        <v>74</v>
      </c>
      <c r="C41" s="3">
        <v>1</v>
      </c>
      <c r="D41" s="3">
        <v>325</v>
      </c>
      <c r="E41" s="3">
        <v>336</v>
      </c>
      <c r="F41" s="3">
        <v>9</v>
      </c>
      <c r="G41" s="3">
        <v>248</v>
      </c>
      <c r="H41" s="3">
        <v>2</v>
      </c>
      <c r="I41" s="3">
        <v>10</v>
      </c>
    </row>
    <row r="42" spans="1:11" x14ac:dyDescent="0.25">
      <c r="A42" s="11" t="s">
        <v>11</v>
      </c>
      <c r="B42" s="3">
        <v>2131</v>
      </c>
      <c r="C42" s="3">
        <v>2191</v>
      </c>
      <c r="D42" s="3">
        <v>2048</v>
      </c>
      <c r="E42" s="3">
        <v>2279</v>
      </c>
      <c r="F42" s="3">
        <v>2612</v>
      </c>
      <c r="G42" s="3">
        <v>2248</v>
      </c>
      <c r="H42" s="3">
        <v>2836</v>
      </c>
      <c r="I42" s="3">
        <v>3358</v>
      </c>
      <c r="K42" s="3">
        <v>1930</v>
      </c>
    </row>
    <row r="43" spans="1:11" x14ac:dyDescent="0.25">
      <c r="A43" s="11" t="s">
        <v>47</v>
      </c>
      <c r="B43" s="3">
        <v>0</v>
      </c>
      <c r="C43" s="3">
        <v>0</v>
      </c>
      <c r="D43" s="3">
        <v>0</v>
      </c>
      <c r="E43" s="3">
        <v>0</v>
      </c>
      <c r="F43" s="3">
        <v>0</v>
      </c>
      <c r="G43" s="3">
        <v>445</v>
      </c>
      <c r="H43" s="3">
        <v>467</v>
      </c>
      <c r="I43" s="3">
        <v>420</v>
      </c>
    </row>
    <row r="44" spans="1:11" x14ac:dyDescent="0.25">
      <c r="A44" s="11" t="s">
        <v>12</v>
      </c>
      <c r="B44" s="3">
        <v>3951</v>
      </c>
      <c r="C44" s="3">
        <v>3037</v>
      </c>
      <c r="D44" s="3">
        <v>3011</v>
      </c>
      <c r="E44" s="3">
        <v>3269</v>
      </c>
      <c r="F44" s="3">
        <v>5010</v>
      </c>
      <c r="G44" s="3">
        <v>5184</v>
      </c>
      <c r="H44" s="3">
        <v>6063</v>
      </c>
      <c r="I44" s="3">
        <v>6220</v>
      </c>
    </row>
    <row r="45" spans="1:11" x14ac:dyDescent="0.25">
      <c r="A45" s="11" t="s">
        <v>48</v>
      </c>
      <c r="B45" s="3">
        <v>71</v>
      </c>
      <c r="C45" s="3">
        <v>85</v>
      </c>
      <c r="D45" s="3">
        <v>84</v>
      </c>
      <c r="E45" s="3">
        <v>150</v>
      </c>
      <c r="F45" s="3">
        <v>229</v>
      </c>
      <c r="G45" s="3">
        <v>156</v>
      </c>
      <c r="H45" s="3">
        <v>306</v>
      </c>
      <c r="I45" s="3">
        <v>222</v>
      </c>
    </row>
    <row r="46" spans="1:11" x14ac:dyDescent="0.25">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11" x14ac:dyDescent="0.25">
      <c r="A47" s="2" t="s">
        <v>49</v>
      </c>
      <c r="B47" s="3">
        <v>1079</v>
      </c>
      <c r="C47" s="3">
        <v>2010</v>
      </c>
      <c r="D47" s="3">
        <v>3471</v>
      </c>
      <c r="E47" s="3">
        <v>3468</v>
      </c>
      <c r="F47" s="3">
        <v>3464</v>
      </c>
      <c r="G47" s="3">
        <v>9406</v>
      </c>
      <c r="H47" s="3">
        <v>9413</v>
      </c>
      <c r="I47" s="3">
        <v>8920</v>
      </c>
    </row>
    <row r="48" spans="1:11" x14ac:dyDescent="0.25">
      <c r="A48" s="2" t="s">
        <v>50</v>
      </c>
      <c r="B48" s="3">
        <v>0</v>
      </c>
      <c r="C48" s="3">
        <v>0</v>
      </c>
      <c r="D48" s="3">
        <v>0</v>
      </c>
      <c r="E48" s="3">
        <v>0</v>
      </c>
      <c r="F48" s="3">
        <v>0</v>
      </c>
      <c r="G48" s="3">
        <v>2913</v>
      </c>
      <c r="H48" s="3">
        <v>2931</v>
      </c>
      <c r="I48" s="3">
        <v>2777</v>
      </c>
    </row>
    <row r="49" spans="1:9" x14ac:dyDescent="0.25">
      <c r="A49" s="2" t="s">
        <v>51</v>
      </c>
      <c r="B49" s="3">
        <v>1480</v>
      </c>
      <c r="C49" s="3">
        <v>1770</v>
      </c>
      <c r="D49" s="3">
        <v>1907</v>
      </c>
      <c r="E49" s="3">
        <v>3216</v>
      </c>
      <c r="F49" s="3">
        <v>3347</v>
      </c>
      <c r="G49" s="3">
        <v>2684</v>
      </c>
      <c r="H49" s="3">
        <v>2955</v>
      </c>
      <c r="I49" s="3">
        <v>2613</v>
      </c>
    </row>
    <row r="50" spans="1:9" x14ac:dyDescent="0.25">
      <c r="A50" s="2" t="s">
        <v>52</v>
      </c>
      <c r="B50" s="3">
        <v>0</v>
      </c>
      <c r="C50" s="3">
        <v>0</v>
      </c>
      <c r="D50" s="3">
        <v>0</v>
      </c>
      <c r="E50" s="3">
        <v>0</v>
      </c>
      <c r="F50" s="3">
        <v>0</v>
      </c>
      <c r="G50" s="3">
        <v>0</v>
      </c>
      <c r="H50" s="3"/>
      <c r="I50" s="3"/>
    </row>
    <row r="51" spans="1:9" x14ac:dyDescent="0.25">
      <c r="A51" s="11" t="s">
        <v>53</v>
      </c>
      <c r="B51" s="3">
        <v>0</v>
      </c>
      <c r="C51" s="3">
        <v>0</v>
      </c>
      <c r="D51" s="3">
        <v>0</v>
      </c>
      <c r="E51" s="3">
        <v>0</v>
      </c>
      <c r="F51" s="3">
        <v>0</v>
      </c>
      <c r="G51" s="3">
        <v>0</v>
      </c>
      <c r="H51" s="3">
        <v>0</v>
      </c>
      <c r="I51" s="3">
        <v>0</v>
      </c>
    </row>
    <row r="52" spans="1:9" x14ac:dyDescent="0.25">
      <c r="A52" s="2" t="s">
        <v>54</v>
      </c>
      <c r="B52" s="3">
        <v>0</v>
      </c>
      <c r="C52" s="3">
        <v>0</v>
      </c>
      <c r="D52" s="3">
        <v>0</v>
      </c>
      <c r="E52" s="3">
        <v>0</v>
      </c>
      <c r="F52" s="3">
        <v>0</v>
      </c>
      <c r="G52" s="3">
        <v>0</v>
      </c>
      <c r="H52" s="3"/>
      <c r="I52" s="3"/>
    </row>
    <row r="53" spans="1:9" x14ac:dyDescent="0.25">
      <c r="A53" s="11" t="s">
        <v>55</v>
      </c>
      <c r="B53" s="3">
        <v>0</v>
      </c>
      <c r="C53" s="3">
        <v>0</v>
      </c>
      <c r="D53" s="3">
        <v>0</v>
      </c>
      <c r="E53" s="3">
        <v>0</v>
      </c>
      <c r="F53" s="3">
        <v>0</v>
      </c>
      <c r="G53" s="3">
        <v>0</v>
      </c>
      <c r="H53" s="3"/>
      <c r="I53" s="3"/>
    </row>
    <row r="54" spans="1:9" x14ac:dyDescent="0.25">
      <c r="A54" s="17" t="s">
        <v>56</v>
      </c>
      <c r="B54" s="3">
        <v>0</v>
      </c>
      <c r="C54" s="3">
        <v>0</v>
      </c>
      <c r="D54" s="3">
        <v>0</v>
      </c>
      <c r="E54" s="3">
        <v>0</v>
      </c>
      <c r="F54" s="3">
        <v>0</v>
      </c>
      <c r="G54" s="3">
        <v>0</v>
      </c>
      <c r="H54" s="3"/>
      <c r="I54" s="3"/>
    </row>
    <row r="55" spans="1:9" x14ac:dyDescent="0.25">
      <c r="A55" s="17" t="s">
        <v>57</v>
      </c>
      <c r="B55" s="3">
        <v>3</v>
      </c>
      <c r="C55" s="3">
        <v>3</v>
      </c>
      <c r="D55" s="3">
        <v>3</v>
      </c>
      <c r="E55" s="3">
        <v>3</v>
      </c>
      <c r="F55" s="3">
        <v>3</v>
      </c>
      <c r="G55" s="3">
        <v>3</v>
      </c>
      <c r="H55" s="3">
        <v>3</v>
      </c>
      <c r="I55" s="3">
        <v>3</v>
      </c>
    </row>
    <row r="56" spans="1:9" x14ac:dyDescent="0.25">
      <c r="A56" s="17" t="s">
        <v>58</v>
      </c>
      <c r="B56" s="3">
        <v>6773</v>
      </c>
      <c r="C56" s="3">
        <v>7786</v>
      </c>
      <c r="D56" s="3">
        <v>5710</v>
      </c>
      <c r="E56" s="3">
        <v>6384</v>
      </c>
      <c r="F56" s="3">
        <v>7163</v>
      </c>
      <c r="G56" s="3">
        <v>8299</v>
      </c>
      <c r="H56" s="3">
        <v>9965</v>
      </c>
      <c r="I56" s="3">
        <v>11484</v>
      </c>
    </row>
    <row r="57" spans="1:9" x14ac:dyDescent="0.25">
      <c r="A57" s="17" t="s">
        <v>59</v>
      </c>
      <c r="B57" s="3">
        <v>1246</v>
      </c>
      <c r="C57" s="3">
        <v>318</v>
      </c>
      <c r="D57" s="3">
        <v>-213</v>
      </c>
      <c r="E57" s="3">
        <v>-92</v>
      </c>
      <c r="F57" s="3">
        <v>231</v>
      </c>
      <c r="G57" s="3">
        <v>-56</v>
      </c>
      <c r="H57" s="3">
        <v>-380</v>
      </c>
      <c r="I57" s="3">
        <v>318</v>
      </c>
    </row>
    <row r="58" spans="1:9" x14ac:dyDescent="0.25">
      <c r="A58" s="17" t="s">
        <v>60</v>
      </c>
      <c r="B58" s="3">
        <v>4685</v>
      </c>
      <c r="C58" s="3">
        <v>4151</v>
      </c>
      <c r="D58" s="3">
        <v>6907</v>
      </c>
      <c r="E58" s="3">
        <v>3517</v>
      </c>
      <c r="F58" s="3">
        <v>1643</v>
      </c>
      <c r="G58" s="3">
        <v>-191</v>
      </c>
      <c r="H58" s="3">
        <v>3179</v>
      </c>
      <c r="I58" s="3">
        <v>3476</v>
      </c>
    </row>
    <row r="59" spans="1:9" x14ac:dyDescent="0.25">
      <c r="A59" s="4" t="s">
        <v>61</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75" thickBot="1" x14ac:dyDescent="0.3">
      <c r="A60" s="6" t="s">
        <v>62</v>
      </c>
      <c r="B60" s="7">
        <f t="shared" ref="B60:H60" si="10">+SUM(B46:B51)+B59</f>
        <v>21600</v>
      </c>
      <c r="C60" s="7">
        <f t="shared" si="10"/>
        <v>21396</v>
      </c>
      <c r="D60" s="7">
        <f t="shared" si="10"/>
        <v>23259</v>
      </c>
      <c r="E60" s="7">
        <f t="shared" si="10"/>
        <v>22536</v>
      </c>
      <c r="F60" s="7">
        <f t="shared" si="10"/>
        <v>23717</v>
      </c>
      <c r="G60" s="7">
        <f t="shared" si="10"/>
        <v>31342</v>
      </c>
      <c r="H60" s="7">
        <f t="shared" si="10"/>
        <v>37740</v>
      </c>
      <c r="I60" s="7">
        <f>+SUM(I46:I51)+I59</f>
        <v>40321</v>
      </c>
    </row>
    <row r="61" spans="1:9" s="12" customFormat="1" ht="15.75" thickTop="1" x14ac:dyDescent="0.25">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25">
      <c r="A62" s="14" t="s">
        <v>1</v>
      </c>
      <c r="B62" s="14"/>
      <c r="C62" s="14"/>
      <c r="D62" s="14"/>
      <c r="E62" s="14"/>
      <c r="F62" s="14"/>
      <c r="G62" s="14"/>
      <c r="H62" s="14"/>
      <c r="I62" s="14"/>
    </row>
    <row r="63" spans="1:9" x14ac:dyDescent="0.25">
      <c r="A63" t="s">
        <v>15</v>
      </c>
    </row>
    <row r="64" spans="1:9" x14ac:dyDescent="0.25">
      <c r="A64" s="1" t="s">
        <v>63</v>
      </c>
    </row>
    <row r="65" spans="1:9" s="1" customFormat="1" x14ac:dyDescent="0.25">
      <c r="A65" s="10" t="s">
        <v>64</v>
      </c>
      <c r="B65" s="9">
        <v>3273</v>
      </c>
      <c r="C65" s="9">
        <v>3760</v>
      </c>
      <c r="D65" s="9">
        <v>4240</v>
      </c>
      <c r="E65" s="9">
        <v>1933</v>
      </c>
      <c r="F65" s="9">
        <v>4029</v>
      </c>
      <c r="G65" s="9">
        <v>2539</v>
      </c>
      <c r="H65" s="9">
        <f>+H12</f>
        <v>5727</v>
      </c>
      <c r="I65" s="9">
        <f>+I12</f>
        <v>6046</v>
      </c>
    </row>
    <row r="66" spans="1:9" s="1" customFormat="1" x14ac:dyDescent="0.25">
      <c r="A66" s="2" t="s">
        <v>65</v>
      </c>
      <c r="B66" s="3">
        <v>0</v>
      </c>
      <c r="C66" s="3">
        <v>0</v>
      </c>
      <c r="D66" s="3">
        <v>0</v>
      </c>
      <c r="E66" s="3">
        <v>0</v>
      </c>
      <c r="F66" s="3">
        <v>0</v>
      </c>
      <c r="G66" s="3">
        <v>0</v>
      </c>
      <c r="H66" s="3"/>
      <c r="I66" s="3"/>
    </row>
    <row r="67" spans="1:9" x14ac:dyDescent="0.25">
      <c r="A67" s="11" t="s">
        <v>66</v>
      </c>
      <c r="B67" s="3">
        <v>606</v>
      </c>
      <c r="C67" s="3">
        <v>649</v>
      </c>
      <c r="D67" s="3">
        <v>706</v>
      </c>
      <c r="E67" s="3">
        <v>747</v>
      </c>
      <c r="F67" s="3">
        <v>705</v>
      </c>
      <c r="G67" s="3">
        <v>721</v>
      </c>
      <c r="H67" s="3">
        <v>744</v>
      </c>
      <c r="I67" s="3">
        <v>717</v>
      </c>
    </row>
    <row r="68" spans="1:9" x14ac:dyDescent="0.25">
      <c r="A68" s="11" t="s">
        <v>67</v>
      </c>
      <c r="B68" s="3">
        <v>-113</v>
      </c>
      <c r="C68" s="3">
        <v>-80</v>
      </c>
      <c r="D68" s="3">
        <v>-273</v>
      </c>
      <c r="E68" s="3">
        <v>647</v>
      </c>
      <c r="F68" s="3">
        <v>34</v>
      </c>
      <c r="G68" s="3">
        <v>-380</v>
      </c>
      <c r="H68" s="3">
        <v>-385</v>
      </c>
      <c r="I68" s="3">
        <v>-650</v>
      </c>
    </row>
    <row r="69" spans="1:9" x14ac:dyDescent="0.25">
      <c r="A69" s="11" t="s">
        <v>68</v>
      </c>
      <c r="B69" s="3">
        <v>119</v>
      </c>
      <c r="C69" s="3">
        <v>236</v>
      </c>
      <c r="D69" s="3">
        <v>215</v>
      </c>
      <c r="E69" s="3">
        <v>218</v>
      </c>
      <c r="F69" s="3">
        <v>325</v>
      </c>
      <c r="G69" s="3">
        <v>429</v>
      </c>
      <c r="H69" s="3">
        <v>611</v>
      </c>
      <c r="I69" s="3">
        <v>638</v>
      </c>
    </row>
    <row r="70" spans="1:9" x14ac:dyDescent="0.25">
      <c r="A70" s="11" t="s">
        <v>69</v>
      </c>
      <c r="B70" s="3">
        <v>43</v>
      </c>
      <c r="C70" s="3">
        <v>13</v>
      </c>
      <c r="D70" s="3">
        <v>10</v>
      </c>
      <c r="E70" s="3">
        <v>27</v>
      </c>
      <c r="F70" s="3">
        <v>15</v>
      </c>
      <c r="G70" s="3">
        <v>398</v>
      </c>
      <c r="H70" s="3">
        <v>53</v>
      </c>
      <c r="I70" s="3">
        <v>123</v>
      </c>
    </row>
    <row r="71" spans="1:9" x14ac:dyDescent="0.25">
      <c r="A71" s="11" t="s">
        <v>70</v>
      </c>
      <c r="B71" s="3">
        <v>424</v>
      </c>
      <c r="C71" s="3">
        <v>98</v>
      </c>
      <c r="D71" s="3">
        <v>-117</v>
      </c>
      <c r="E71" s="3">
        <v>-99</v>
      </c>
      <c r="F71" s="3">
        <v>233</v>
      </c>
      <c r="G71" s="3">
        <v>23</v>
      </c>
      <c r="H71" s="3">
        <v>-138</v>
      </c>
      <c r="I71" s="3">
        <v>-26</v>
      </c>
    </row>
    <row r="72" spans="1:9" x14ac:dyDescent="0.25">
      <c r="A72" s="2" t="s">
        <v>71</v>
      </c>
      <c r="B72" s="3">
        <v>0</v>
      </c>
      <c r="C72" s="3">
        <v>0</v>
      </c>
      <c r="D72" s="3">
        <v>0</v>
      </c>
      <c r="E72" s="3">
        <v>0</v>
      </c>
      <c r="F72" s="3">
        <v>0</v>
      </c>
      <c r="G72" s="3">
        <v>0</v>
      </c>
      <c r="H72" s="3"/>
      <c r="I72" s="3"/>
    </row>
    <row r="73" spans="1:9" x14ac:dyDescent="0.25">
      <c r="A73" s="11" t="s">
        <v>72</v>
      </c>
      <c r="B73" s="3">
        <v>-216</v>
      </c>
      <c r="C73" s="3">
        <v>60</v>
      </c>
      <c r="D73" s="3">
        <v>-426</v>
      </c>
      <c r="E73" s="3">
        <v>187</v>
      </c>
      <c r="F73" s="3">
        <v>-270</v>
      </c>
      <c r="G73" s="3">
        <v>1239</v>
      </c>
      <c r="H73" s="3">
        <v>-1606</v>
      </c>
      <c r="I73" s="3">
        <v>-504</v>
      </c>
    </row>
    <row r="74" spans="1:9" x14ac:dyDescent="0.25">
      <c r="A74" s="11" t="s">
        <v>73</v>
      </c>
      <c r="B74" s="3">
        <v>-621</v>
      </c>
      <c r="C74" s="3">
        <v>-590</v>
      </c>
      <c r="D74" s="3">
        <v>-231</v>
      </c>
      <c r="E74" s="3">
        <v>-255</v>
      </c>
      <c r="F74" s="3">
        <v>-490</v>
      </c>
      <c r="G74" s="3">
        <v>-1854</v>
      </c>
      <c r="H74" s="3">
        <v>507</v>
      </c>
      <c r="I74" s="3">
        <v>-1676</v>
      </c>
    </row>
    <row r="75" spans="1:9" x14ac:dyDescent="0.25">
      <c r="A75" s="11" t="s">
        <v>98</v>
      </c>
      <c r="B75" s="3">
        <v>-144</v>
      </c>
      <c r="C75" s="3">
        <v>-161</v>
      </c>
      <c r="D75" s="3">
        <v>-120</v>
      </c>
      <c r="E75" s="3">
        <v>35</v>
      </c>
      <c r="F75" s="3">
        <v>-203</v>
      </c>
      <c r="G75" s="3">
        <v>-654</v>
      </c>
      <c r="H75" s="3">
        <v>-182</v>
      </c>
      <c r="I75" s="3">
        <v>-845</v>
      </c>
    </row>
    <row r="76" spans="1:9" x14ac:dyDescent="0.25">
      <c r="A76" s="11" t="s">
        <v>97</v>
      </c>
      <c r="B76" s="3">
        <v>1237</v>
      </c>
      <c r="C76" s="3">
        <v>-586</v>
      </c>
      <c r="D76" s="3">
        <v>-158</v>
      </c>
      <c r="E76" s="3">
        <v>1515</v>
      </c>
      <c r="F76" s="3">
        <v>1525</v>
      </c>
      <c r="G76" s="3">
        <v>24</v>
      </c>
      <c r="H76" s="3">
        <v>1326</v>
      </c>
      <c r="I76" s="3">
        <v>1365</v>
      </c>
    </row>
    <row r="77" spans="1:9" x14ac:dyDescent="0.25">
      <c r="A77" s="24" t="s">
        <v>74</v>
      </c>
      <c r="B77" s="25">
        <f>+SUM(B65:B76)</f>
        <v>4608</v>
      </c>
      <c r="C77" s="25">
        <f t="shared" ref="B77:H77" si="12">+SUM(C65:C76)</f>
        <v>3399</v>
      </c>
      <c r="D77" s="25">
        <f t="shared" si="12"/>
        <v>3846</v>
      </c>
      <c r="E77" s="25">
        <f t="shared" si="12"/>
        <v>4955</v>
      </c>
      <c r="F77" s="25">
        <f t="shared" si="12"/>
        <v>5903</v>
      </c>
      <c r="G77" s="25">
        <f t="shared" si="12"/>
        <v>2485</v>
      </c>
      <c r="H77" s="25">
        <f t="shared" si="12"/>
        <v>6657</v>
      </c>
      <c r="I77" s="25">
        <f>+SUM(I65:I76)</f>
        <v>5188</v>
      </c>
    </row>
    <row r="78" spans="1:9" x14ac:dyDescent="0.25">
      <c r="A78" s="1" t="s">
        <v>75</v>
      </c>
      <c r="B78" s="3"/>
      <c r="C78" s="3"/>
      <c r="D78" s="3"/>
      <c r="E78" s="3"/>
      <c r="F78" s="3"/>
      <c r="G78" s="3"/>
      <c r="H78" s="3"/>
      <c r="I78" s="3"/>
    </row>
    <row r="79" spans="1:9" x14ac:dyDescent="0.25">
      <c r="A79" s="2" t="s">
        <v>76</v>
      </c>
      <c r="B79" s="3">
        <v>-4936</v>
      </c>
      <c r="C79" s="3">
        <v>-5367</v>
      </c>
      <c r="D79" s="3">
        <v>-5928</v>
      </c>
      <c r="E79" s="3">
        <v>-4783</v>
      </c>
      <c r="F79" s="3">
        <v>-2937</v>
      </c>
      <c r="G79" s="3">
        <v>-2426</v>
      </c>
      <c r="H79" s="3">
        <v>-9961</v>
      </c>
      <c r="I79" s="3">
        <v>-12913</v>
      </c>
    </row>
    <row r="80" spans="1:9" x14ac:dyDescent="0.25">
      <c r="A80" s="2" t="s">
        <v>77</v>
      </c>
      <c r="B80" s="3">
        <v>3655</v>
      </c>
      <c r="C80" s="3">
        <v>2924</v>
      </c>
      <c r="D80" s="3">
        <v>3623</v>
      </c>
      <c r="E80" s="3">
        <v>3613</v>
      </c>
      <c r="F80" s="3">
        <v>1715</v>
      </c>
      <c r="G80" s="3">
        <v>74</v>
      </c>
      <c r="H80" s="3">
        <v>4236</v>
      </c>
      <c r="I80" s="3">
        <v>8199</v>
      </c>
    </row>
    <row r="81" spans="1:9" x14ac:dyDescent="0.25">
      <c r="A81" s="2" t="s">
        <v>78</v>
      </c>
      <c r="B81" s="3">
        <v>2216</v>
      </c>
      <c r="C81" s="3">
        <v>2386</v>
      </c>
      <c r="D81" s="3">
        <v>2423</v>
      </c>
      <c r="E81" s="3">
        <v>2496</v>
      </c>
      <c r="F81" s="3">
        <v>2072</v>
      </c>
      <c r="G81" s="3">
        <v>2379</v>
      </c>
      <c r="H81" s="3">
        <v>2449</v>
      </c>
      <c r="I81" s="3">
        <v>3967</v>
      </c>
    </row>
    <row r="82" spans="1:9" x14ac:dyDescent="0.25">
      <c r="A82" s="2" t="s">
        <v>221</v>
      </c>
      <c r="B82" s="3">
        <v>-150</v>
      </c>
      <c r="C82" s="3">
        <v>150</v>
      </c>
      <c r="D82" s="3">
        <v>0</v>
      </c>
      <c r="E82" s="3">
        <v>0</v>
      </c>
      <c r="F82" s="3">
        <v>0</v>
      </c>
      <c r="G82" s="3">
        <v>0</v>
      </c>
      <c r="H82" s="3"/>
      <c r="I82" s="3"/>
    </row>
    <row r="83" spans="1:9" x14ac:dyDescent="0.25">
      <c r="A83" s="2" t="s">
        <v>14</v>
      </c>
      <c r="B83" s="3">
        <v>-963</v>
      </c>
      <c r="C83" s="3">
        <v>-1143</v>
      </c>
      <c r="D83" s="3">
        <v>-1105</v>
      </c>
      <c r="E83" s="3">
        <v>-1028</v>
      </c>
      <c r="F83" s="3">
        <v>-1119</v>
      </c>
      <c r="G83" s="3">
        <v>-1086</v>
      </c>
      <c r="H83" s="3">
        <v>-695</v>
      </c>
      <c r="I83" s="3">
        <v>-758</v>
      </c>
    </row>
    <row r="84" spans="1:9" x14ac:dyDescent="0.25">
      <c r="A84" s="2" t="s">
        <v>222</v>
      </c>
      <c r="B84" s="3">
        <v>3</v>
      </c>
      <c r="C84" s="3">
        <v>10</v>
      </c>
      <c r="D84" s="3">
        <v>13</v>
      </c>
      <c r="E84" s="3">
        <v>3</v>
      </c>
      <c r="F84" s="3">
        <v>0</v>
      </c>
      <c r="G84" s="3">
        <v>0</v>
      </c>
      <c r="H84" s="3"/>
      <c r="I84" s="3"/>
    </row>
    <row r="85" spans="1:9" x14ac:dyDescent="0.25">
      <c r="A85" s="2" t="s">
        <v>79</v>
      </c>
      <c r="B85" s="3">
        <v>0</v>
      </c>
      <c r="C85" s="3">
        <v>6</v>
      </c>
      <c r="D85" s="3">
        <v>-34</v>
      </c>
      <c r="E85" s="3">
        <v>-25</v>
      </c>
      <c r="F85" s="3">
        <v>5</v>
      </c>
      <c r="G85" s="3">
        <v>31</v>
      </c>
      <c r="H85" s="3">
        <v>171</v>
      </c>
      <c r="I85" s="3">
        <v>-19</v>
      </c>
    </row>
    <row r="86" spans="1:9" x14ac:dyDescent="0.25">
      <c r="A86" s="26" t="s">
        <v>80</v>
      </c>
      <c r="B86" s="25">
        <f t="shared" ref="B86:I86" si="13">+SUM(B79:B85)</f>
        <v>-175</v>
      </c>
      <c r="C86" s="25">
        <f t="shared" si="13"/>
        <v>-1034</v>
      </c>
      <c r="D86" s="25">
        <f t="shared" si="13"/>
        <v>-1008</v>
      </c>
      <c r="E86" s="25">
        <f t="shared" si="13"/>
        <v>276</v>
      </c>
      <c r="F86" s="25">
        <f t="shared" si="13"/>
        <v>-264</v>
      </c>
      <c r="G86" s="25">
        <f t="shared" si="13"/>
        <v>-1028</v>
      </c>
      <c r="H86" s="25">
        <f t="shared" si="13"/>
        <v>-3800</v>
      </c>
      <c r="I86" s="25">
        <f t="shared" si="13"/>
        <v>-1524</v>
      </c>
    </row>
    <row r="87" spans="1:9" x14ac:dyDescent="0.25">
      <c r="A87" s="1" t="s">
        <v>81</v>
      </c>
      <c r="B87" s="3"/>
      <c r="C87" s="3"/>
      <c r="D87" s="3"/>
      <c r="E87" s="3"/>
      <c r="F87" s="3"/>
      <c r="G87" s="3"/>
      <c r="H87" s="3"/>
      <c r="I87" s="3"/>
    </row>
    <row r="88" spans="1:9" x14ac:dyDescent="0.25">
      <c r="A88" s="2" t="s">
        <v>82</v>
      </c>
      <c r="B88" s="3">
        <v>0</v>
      </c>
      <c r="C88" s="3">
        <v>981</v>
      </c>
      <c r="D88" s="3">
        <v>1482</v>
      </c>
      <c r="E88" s="3">
        <v>0</v>
      </c>
      <c r="F88" s="3">
        <v>0</v>
      </c>
      <c r="G88" s="3">
        <v>6134</v>
      </c>
      <c r="H88" s="3">
        <v>0</v>
      </c>
      <c r="I88" s="3">
        <v>0</v>
      </c>
    </row>
    <row r="89" spans="1:9" x14ac:dyDescent="0.25">
      <c r="A89" s="2" t="s">
        <v>223</v>
      </c>
      <c r="B89" s="3">
        <v>-7</v>
      </c>
      <c r="C89" s="3">
        <v>-106</v>
      </c>
      <c r="D89" s="3">
        <v>-44</v>
      </c>
      <c r="E89" s="3">
        <v>-6</v>
      </c>
      <c r="F89" s="3">
        <v>0</v>
      </c>
      <c r="G89" s="3">
        <v>0</v>
      </c>
      <c r="H89" s="3"/>
      <c r="I89" s="3"/>
    </row>
    <row r="90" spans="1:9" x14ac:dyDescent="0.25">
      <c r="A90" s="2" t="s">
        <v>83</v>
      </c>
      <c r="B90" s="3">
        <v>-63</v>
      </c>
      <c r="C90" s="3">
        <v>-67</v>
      </c>
      <c r="D90" s="3">
        <v>327</v>
      </c>
      <c r="E90" s="3">
        <v>13</v>
      </c>
      <c r="F90" s="3">
        <v>-325</v>
      </c>
      <c r="G90" s="3">
        <v>49</v>
      </c>
      <c r="H90" s="3">
        <v>-52</v>
      </c>
      <c r="I90" s="3">
        <v>15</v>
      </c>
    </row>
    <row r="91" spans="1:9" x14ac:dyDescent="0.25">
      <c r="A91" s="2" t="s">
        <v>84</v>
      </c>
      <c r="B91" s="3">
        <v>-19</v>
      </c>
      <c r="C91" s="3">
        <v>-7</v>
      </c>
      <c r="D91" s="3">
        <v>-17</v>
      </c>
      <c r="E91" s="3">
        <v>-23</v>
      </c>
      <c r="F91" s="3">
        <v>0</v>
      </c>
      <c r="G91" s="3">
        <v>0</v>
      </c>
      <c r="H91" s="3">
        <v>-197</v>
      </c>
      <c r="I91" s="3">
        <v>0</v>
      </c>
    </row>
    <row r="92" spans="1:9" x14ac:dyDescent="0.25">
      <c r="A92" s="2" t="s">
        <v>85</v>
      </c>
      <c r="B92" s="3">
        <v>514</v>
      </c>
      <c r="C92" s="3">
        <v>507</v>
      </c>
      <c r="D92" s="3">
        <v>489</v>
      </c>
      <c r="E92" s="3">
        <v>733</v>
      </c>
      <c r="F92" s="3">
        <v>700</v>
      </c>
      <c r="G92" s="3">
        <v>885</v>
      </c>
      <c r="H92" s="3">
        <v>1172</v>
      </c>
      <c r="I92" s="3">
        <v>1151</v>
      </c>
    </row>
    <row r="93" spans="1:9" x14ac:dyDescent="0.25">
      <c r="A93" s="2" t="s">
        <v>224</v>
      </c>
      <c r="B93" s="3">
        <v>218</v>
      </c>
      <c r="C93" s="3">
        <v>-3238</v>
      </c>
      <c r="D93" s="3">
        <v>-3223</v>
      </c>
      <c r="E93" s="3">
        <v>-4254</v>
      </c>
      <c r="F93" s="3">
        <v>0</v>
      </c>
      <c r="G93" s="3">
        <v>0</v>
      </c>
      <c r="H93" s="3"/>
      <c r="I93" s="3"/>
    </row>
    <row r="94" spans="1:9" x14ac:dyDescent="0.25">
      <c r="A94" s="2" t="s">
        <v>16</v>
      </c>
      <c r="B94" s="3">
        <v>-2534</v>
      </c>
      <c r="C94" s="3">
        <v>-1022</v>
      </c>
      <c r="D94" s="3">
        <v>-1133</v>
      </c>
      <c r="E94" s="3">
        <v>-1243</v>
      </c>
      <c r="F94" s="3">
        <v>-4286</v>
      </c>
      <c r="G94" s="3">
        <v>-3067</v>
      </c>
      <c r="H94" s="3">
        <v>-608</v>
      </c>
      <c r="I94" s="3">
        <v>-4014</v>
      </c>
    </row>
    <row r="95" spans="1:9" x14ac:dyDescent="0.25">
      <c r="A95" s="2" t="s">
        <v>86</v>
      </c>
      <c r="B95" s="3">
        <v>-899</v>
      </c>
      <c r="C95" s="3">
        <v>-22</v>
      </c>
      <c r="D95" s="3">
        <v>-29</v>
      </c>
      <c r="E95" s="3">
        <v>-55</v>
      </c>
      <c r="F95" s="3">
        <v>-1332</v>
      </c>
      <c r="G95" s="3">
        <v>-1452</v>
      </c>
      <c r="H95" s="3">
        <v>-1638</v>
      </c>
      <c r="I95" s="3">
        <v>-1837</v>
      </c>
    </row>
    <row r="96" spans="1:9" x14ac:dyDescent="0.25">
      <c r="A96" s="2" t="s">
        <v>87</v>
      </c>
      <c r="B96" s="3">
        <v>0</v>
      </c>
      <c r="C96" s="3">
        <v>0</v>
      </c>
      <c r="D96" s="3">
        <v>0</v>
      </c>
      <c r="E96" s="3">
        <v>0</v>
      </c>
      <c r="F96" s="3">
        <v>-50</v>
      </c>
      <c r="G96" s="3">
        <v>-58</v>
      </c>
      <c r="H96" s="3">
        <v>-136</v>
      </c>
      <c r="I96" s="3">
        <v>-151</v>
      </c>
    </row>
    <row r="97" spans="1:9" x14ac:dyDescent="0.25">
      <c r="A97" s="26" t="s">
        <v>88</v>
      </c>
      <c r="B97" s="25">
        <f t="shared" ref="B97:H97" si="14">+SUM(B88:B96)</f>
        <v>-2790</v>
      </c>
      <c r="C97" s="25">
        <f t="shared" si="14"/>
        <v>-2974</v>
      </c>
      <c r="D97" s="25">
        <f t="shared" si="14"/>
        <v>-2148</v>
      </c>
      <c r="E97" s="25">
        <f t="shared" si="14"/>
        <v>-4835</v>
      </c>
      <c r="F97" s="25">
        <f t="shared" si="14"/>
        <v>-5293</v>
      </c>
      <c r="G97" s="25">
        <f t="shared" si="14"/>
        <v>2491</v>
      </c>
      <c r="H97" s="25">
        <f t="shared" si="14"/>
        <v>-1459</v>
      </c>
      <c r="I97" s="25">
        <f>+SUM(I88:I96)</f>
        <v>-4836</v>
      </c>
    </row>
    <row r="98" spans="1:9" x14ac:dyDescent="0.25">
      <c r="A98" s="2" t="s">
        <v>89</v>
      </c>
      <c r="B98" s="3">
        <v>-83</v>
      </c>
      <c r="C98" s="3">
        <v>-105</v>
      </c>
      <c r="D98" s="3">
        <v>-20</v>
      </c>
      <c r="E98" s="3">
        <v>45</v>
      </c>
      <c r="F98" s="3">
        <v>-129</v>
      </c>
      <c r="G98" s="3">
        <v>-66</v>
      </c>
      <c r="H98" s="3">
        <v>143</v>
      </c>
      <c r="I98" s="3">
        <v>-143</v>
      </c>
    </row>
    <row r="99" spans="1:9" x14ac:dyDescent="0.25">
      <c r="A99" s="26" t="s">
        <v>90</v>
      </c>
      <c r="B99" s="25">
        <f t="shared" ref="B99:I99" si="15">+B77+B86+B97+B98</f>
        <v>1560</v>
      </c>
      <c r="C99" s="25">
        <f t="shared" si="15"/>
        <v>-714</v>
      </c>
      <c r="D99" s="25">
        <f t="shared" si="15"/>
        <v>670</v>
      </c>
      <c r="E99" s="25">
        <f t="shared" si="15"/>
        <v>441</v>
      </c>
      <c r="F99" s="25">
        <f t="shared" si="15"/>
        <v>217</v>
      </c>
      <c r="G99" s="25">
        <f t="shared" si="15"/>
        <v>3882</v>
      </c>
      <c r="H99" s="25">
        <f t="shared" si="15"/>
        <v>1541</v>
      </c>
      <c r="I99" s="25">
        <f t="shared" si="15"/>
        <v>-1315</v>
      </c>
    </row>
    <row r="100" spans="1:9" x14ac:dyDescent="0.25">
      <c r="A100" t="s">
        <v>91</v>
      </c>
      <c r="B100" s="3">
        <v>2220</v>
      </c>
      <c r="C100" s="3">
        <v>3852</v>
      </c>
      <c r="D100" s="3">
        <v>3138</v>
      </c>
      <c r="E100" s="3">
        <v>3808</v>
      </c>
      <c r="F100" s="3">
        <v>4249</v>
      </c>
      <c r="G100" s="3">
        <v>4466</v>
      </c>
      <c r="H100" s="3">
        <v>8348</v>
      </c>
      <c r="I100" s="3">
        <f>+H101</f>
        <v>9889</v>
      </c>
    </row>
    <row r="101" spans="1:9" ht="15.75" thickBot="1" x14ac:dyDescent="0.3">
      <c r="A101" s="6" t="s">
        <v>92</v>
      </c>
      <c r="B101" s="7">
        <v>3852</v>
      </c>
      <c r="C101" s="7">
        <v>3138</v>
      </c>
      <c r="D101" s="7">
        <v>3808</v>
      </c>
      <c r="E101" s="7">
        <v>4249</v>
      </c>
      <c r="F101" s="7">
        <v>4466</v>
      </c>
      <c r="G101" s="7">
        <v>8348</v>
      </c>
      <c r="H101" s="7">
        <f>+H99+H100</f>
        <v>9889</v>
      </c>
      <c r="I101" s="7">
        <f>+I99+I100</f>
        <v>8574</v>
      </c>
    </row>
    <row r="102" spans="1:9" s="12" customFormat="1" ht="15.75" thickTop="1" x14ac:dyDescent="0.25">
      <c r="A102" s="12" t="s">
        <v>19</v>
      </c>
      <c r="B102" s="13">
        <f t="shared" ref="B102:H102" si="16">+B101-B25</f>
        <v>0</v>
      </c>
      <c r="C102" s="13">
        <f t="shared" si="16"/>
        <v>0</v>
      </c>
      <c r="D102" s="13">
        <f t="shared" si="16"/>
        <v>0</v>
      </c>
      <c r="E102" s="13">
        <f t="shared" si="16"/>
        <v>0</v>
      </c>
      <c r="F102" s="13">
        <f t="shared" si="16"/>
        <v>0</v>
      </c>
      <c r="G102" s="13">
        <f t="shared" si="16"/>
        <v>0</v>
      </c>
      <c r="H102" s="13">
        <f t="shared" si="16"/>
        <v>0</v>
      </c>
      <c r="I102" s="13">
        <f>+I101-I25</f>
        <v>0</v>
      </c>
    </row>
    <row r="103" spans="1:9" x14ac:dyDescent="0.25">
      <c r="A103" t="s">
        <v>93</v>
      </c>
      <c r="B103" s="3"/>
      <c r="C103" s="3"/>
      <c r="D103" s="3"/>
      <c r="E103" s="3"/>
      <c r="F103" s="3"/>
      <c r="G103" s="3"/>
      <c r="H103" s="3"/>
      <c r="I103" s="3"/>
    </row>
    <row r="104" spans="1:9" x14ac:dyDescent="0.25">
      <c r="A104" s="2" t="s">
        <v>17</v>
      </c>
      <c r="B104" s="3"/>
      <c r="C104" s="3"/>
      <c r="D104" s="3"/>
      <c r="E104" s="3"/>
      <c r="F104" s="3"/>
      <c r="G104" s="3"/>
      <c r="H104" s="3"/>
      <c r="I104" s="3"/>
    </row>
    <row r="105" spans="1:9" x14ac:dyDescent="0.25">
      <c r="A105" s="11" t="s">
        <v>94</v>
      </c>
      <c r="B105" s="3">
        <v>53</v>
      </c>
      <c r="C105" s="3">
        <v>70</v>
      </c>
      <c r="D105" s="3">
        <v>98</v>
      </c>
      <c r="E105" s="3">
        <v>125</v>
      </c>
      <c r="F105" s="3">
        <v>153</v>
      </c>
      <c r="G105" s="3">
        <v>140</v>
      </c>
      <c r="H105" s="3">
        <v>293</v>
      </c>
      <c r="I105" s="3">
        <v>290</v>
      </c>
    </row>
    <row r="106" spans="1:9" x14ac:dyDescent="0.25">
      <c r="A106" s="11" t="s">
        <v>18</v>
      </c>
      <c r="B106" s="3">
        <v>1262</v>
      </c>
      <c r="C106" s="3">
        <v>748</v>
      </c>
      <c r="D106" s="3">
        <v>703</v>
      </c>
      <c r="E106" s="3">
        <v>529</v>
      </c>
      <c r="F106" s="3">
        <v>757</v>
      </c>
      <c r="G106" s="3">
        <v>1028</v>
      </c>
      <c r="H106" s="3">
        <v>1177</v>
      </c>
      <c r="I106" s="3">
        <v>1231</v>
      </c>
    </row>
    <row r="107" spans="1:9" x14ac:dyDescent="0.25">
      <c r="A107" s="11" t="s">
        <v>95</v>
      </c>
      <c r="B107" s="3">
        <v>206</v>
      </c>
      <c r="C107" s="3">
        <v>252</v>
      </c>
      <c r="D107" s="3">
        <v>266</v>
      </c>
      <c r="E107" s="3">
        <v>294</v>
      </c>
      <c r="F107" s="3">
        <v>160</v>
      </c>
      <c r="G107" s="3">
        <v>121</v>
      </c>
      <c r="H107" s="3">
        <v>179</v>
      </c>
      <c r="I107" s="3">
        <v>160</v>
      </c>
    </row>
    <row r="108" spans="1:9" x14ac:dyDescent="0.25">
      <c r="A108" s="11" t="s">
        <v>96</v>
      </c>
      <c r="B108" s="3">
        <v>240</v>
      </c>
      <c r="C108" s="3">
        <v>271</v>
      </c>
      <c r="D108" s="3">
        <v>300</v>
      </c>
      <c r="E108" s="3">
        <v>320</v>
      </c>
      <c r="F108" s="3">
        <v>347</v>
      </c>
      <c r="G108" s="3">
        <v>385</v>
      </c>
      <c r="H108" s="3">
        <v>438</v>
      </c>
      <c r="I108" s="3">
        <v>480</v>
      </c>
    </row>
    <row r="110" spans="1:9" x14ac:dyDescent="0.25">
      <c r="A110" s="14" t="s">
        <v>99</v>
      </c>
      <c r="B110" s="14"/>
      <c r="C110" s="14"/>
      <c r="D110" s="14"/>
      <c r="E110" s="14"/>
      <c r="F110" s="14"/>
      <c r="G110" s="14"/>
      <c r="H110" s="14"/>
      <c r="I110" s="14"/>
    </row>
    <row r="111" spans="1:9" x14ac:dyDescent="0.25">
      <c r="A111" s="27" t="s">
        <v>109</v>
      </c>
      <c r="B111" s="3"/>
      <c r="C111" s="3"/>
      <c r="D111" s="3"/>
      <c r="E111" s="3"/>
      <c r="F111" s="3"/>
      <c r="G111" s="3"/>
      <c r="H111" s="3"/>
      <c r="I111" s="3"/>
    </row>
    <row r="112" spans="1:9" x14ac:dyDescent="0.25">
      <c r="A112" s="2" t="s">
        <v>100</v>
      </c>
      <c r="B112" s="3">
        <v>13740</v>
      </c>
      <c r="C112" s="3">
        <v>14764</v>
      </c>
      <c r="D112" s="3">
        <v>15216</v>
      </c>
      <c r="E112" s="3">
        <v>14855</v>
      </c>
      <c r="F112" s="3">
        <v>15902</v>
      </c>
      <c r="G112" s="3">
        <v>14484</v>
      </c>
      <c r="H112" s="3">
        <f t="shared" ref="H112" si="17">+SUM(H113:H115)</f>
        <v>17179</v>
      </c>
      <c r="I112" s="3">
        <f>+SUM(I113:I115)</f>
        <v>18353</v>
      </c>
    </row>
    <row r="113" spans="1:9" x14ac:dyDescent="0.25">
      <c r="A113" s="11" t="s">
        <v>113</v>
      </c>
      <c r="B113">
        <v>8506</v>
      </c>
      <c r="C113">
        <v>9299</v>
      </c>
      <c r="D113">
        <v>9684</v>
      </c>
      <c r="E113">
        <v>9322</v>
      </c>
      <c r="F113">
        <v>10045</v>
      </c>
      <c r="G113">
        <v>9329</v>
      </c>
      <c r="H113" s="8">
        <v>11644</v>
      </c>
      <c r="I113" s="8">
        <v>12228</v>
      </c>
    </row>
    <row r="114" spans="1:9" x14ac:dyDescent="0.25">
      <c r="A114" s="11" t="s">
        <v>114</v>
      </c>
      <c r="B114">
        <v>4410</v>
      </c>
      <c r="C114">
        <v>4746</v>
      </c>
      <c r="D114">
        <v>4886</v>
      </c>
      <c r="E114">
        <v>4938</v>
      </c>
      <c r="F114">
        <v>5260</v>
      </c>
      <c r="G114">
        <v>4639</v>
      </c>
      <c r="H114" s="8">
        <v>5028</v>
      </c>
      <c r="I114" s="8">
        <v>5492</v>
      </c>
    </row>
    <row r="115" spans="1:9" x14ac:dyDescent="0.25">
      <c r="A115" s="11" t="s">
        <v>115</v>
      </c>
      <c r="B115">
        <v>824</v>
      </c>
      <c r="C115">
        <v>719</v>
      </c>
      <c r="D115">
        <v>646</v>
      </c>
      <c r="E115">
        <v>595</v>
      </c>
      <c r="F115">
        <v>597</v>
      </c>
      <c r="G115">
        <v>516</v>
      </c>
      <c r="H115">
        <v>507</v>
      </c>
      <c r="I115">
        <v>633</v>
      </c>
    </row>
    <row r="116" spans="1:9" x14ac:dyDescent="0.25">
      <c r="A116" s="2" t="s">
        <v>101</v>
      </c>
      <c r="B116" s="3">
        <v>7126</v>
      </c>
      <c r="C116" s="3">
        <v>7315</v>
      </c>
      <c r="D116" s="3">
        <v>7970</v>
      </c>
      <c r="E116" s="3">
        <v>9242</v>
      </c>
      <c r="F116" s="3">
        <v>9812</v>
      </c>
      <c r="G116" s="3">
        <v>9347</v>
      </c>
      <c r="H116" s="3">
        <f t="shared" ref="H116" si="18">+SUM(H117:H119)</f>
        <v>11456</v>
      </c>
      <c r="I116" s="3">
        <f>+SUM(I117:I119)</f>
        <v>12479</v>
      </c>
    </row>
    <row r="117" spans="1:9" x14ac:dyDescent="0.25">
      <c r="A117" s="11" t="s">
        <v>113</v>
      </c>
      <c r="B117">
        <v>4703</v>
      </c>
      <c r="C117">
        <v>4867</v>
      </c>
      <c r="D117">
        <v>5192</v>
      </c>
      <c r="E117">
        <v>5875</v>
      </c>
      <c r="F117">
        <v>6293</v>
      </c>
      <c r="G117">
        <v>5892</v>
      </c>
      <c r="H117" s="8">
        <v>6970</v>
      </c>
      <c r="I117" s="8">
        <v>7388</v>
      </c>
    </row>
    <row r="118" spans="1:9" x14ac:dyDescent="0.25">
      <c r="A118" s="11" t="s">
        <v>114</v>
      </c>
      <c r="B118">
        <v>2050</v>
      </c>
      <c r="C118">
        <v>2091</v>
      </c>
      <c r="D118">
        <v>2395</v>
      </c>
      <c r="E118">
        <v>2940</v>
      </c>
      <c r="F118">
        <v>3087</v>
      </c>
      <c r="G118">
        <v>3053</v>
      </c>
      <c r="H118" s="8">
        <v>3996</v>
      </c>
      <c r="I118" s="8">
        <v>4527</v>
      </c>
    </row>
    <row r="119" spans="1:9" x14ac:dyDescent="0.25">
      <c r="A119" s="11" t="s">
        <v>115</v>
      </c>
      <c r="B119">
        <v>373</v>
      </c>
      <c r="C119">
        <v>357</v>
      </c>
      <c r="D119">
        <v>383</v>
      </c>
      <c r="E119">
        <v>427</v>
      </c>
      <c r="F119">
        <v>432</v>
      </c>
      <c r="G119">
        <v>402</v>
      </c>
      <c r="H119">
        <v>490</v>
      </c>
      <c r="I119">
        <v>564</v>
      </c>
    </row>
    <row r="120" spans="1:9" x14ac:dyDescent="0.25">
      <c r="A120" s="2" t="s">
        <v>102</v>
      </c>
      <c r="B120" s="3">
        <v>3067</v>
      </c>
      <c r="C120" s="3">
        <v>3785</v>
      </c>
      <c r="D120" s="3">
        <v>4237</v>
      </c>
      <c r="E120" s="3">
        <v>5134</v>
      </c>
      <c r="F120" s="3">
        <v>6208</v>
      </c>
      <c r="G120" s="3">
        <v>6679</v>
      </c>
      <c r="H120" s="3">
        <f t="shared" ref="H120" si="19">+SUM(H121:H123)</f>
        <v>8290</v>
      </c>
      <c r="I120" s="3">
        <f>+SUM(I121:I123)</f>
        <v>7547</v>
      </c>
    </row>
    <row r="121" spans="1:9" x14ac:dyDescent="0.25">
      <c r="A121" s="11" t="s">
        <v>113</v>
      </c>
      <c r="B121">
        <v>2016</v>
      </c>
      <c r="C121">
        <v>2599</v>
      </c>
      <c r="D121">
        <v>2920</v>
      </c>
      <c r="E121">
        <v>3496</v>
      </c>
      <c r="F121">
        <v>4262</v>
      </c>
      <c r="G121">
        <v>4635</v>
      </c>
      <c r="H121" s="8">
        <v>5748</v>
      </c>
      <c r="I121" s="8">
        <v>5416</v>
      </c>
    </row>
    <row r="122" spans="1:9" x14ac:dyDescent="0.25">
      <c r="A122" s="11" t="s">
        <v>114</v>
      </c>
      <c r="B122">
        <v>925</v>
      </c>
      <c r="C122">
        <v>1055</v>
      </c>
      <c r="D122">
        <v>1188</v>
      </c>
      <c r="E122">
        <v>1508</v>
      </c>
      <c r="F122">
        <v>1808</v>
      </c>
      <c r="G122">
        <v>1896</v>
      </c>
      <c r="H122" s="8">
        <v>2347</v>
      </c>
      <c r="I122" s="8">
        <v>1938</v>
      </c>
    </row>
    <row r="123" spans="1:9" x14ac:dyDescent="0.25">
      <c r="A123" s="11" t="s">
        <v>115</v>
      </c>
      <c r="B123">
        <v>126</v>
      </c>
      <c r="C123">
        <v>131</v>
      </c>
      <c r="D123">
        <v>129</v>
      </c>
      <c r="E123">
        <v>130</v>
      </c>
      <c r="F123">
        <v>138</v>
      </c>
      <c r="G123">
        <v>148</v>
      </c>
      <c r="H123">
        <v>195</v>
      </c>
      <c r="I123">
        <v>193</v>
      </c>
    </row>
    <row r="124" spans="1:9" x14ac:dyDescent="0.25">
      <c r="A124" s="2" t="s">
        <v>106</v>
      </c>
      <c r="B124" s="3">
        <v>4653</v>
      </c>
      <c r="C124" s="3">
        <v>4570</v>
      </c>
      <c r="D124" s="3">
        <v>4737</v>
      </c>
      <c r="E124" s="3">
        <v>5166</v>
      </c>
      <c r="F124" s="3">
        <v>5254</v>
      </c>
      <c r="G124" s="3">
        <v>5028</v>
      </c>
      <c r="H124" s="3">
        <f t="shared" ref="H124" si="20">+SUM(H125:H127)</f>
        <v>5343</v>
      </c>
      <c r="I124" s="3">
        <f>+SUM(I125:I127)</f>
        <v>5955</v>
      </c>
    </row>
    <row r="125" spans="1:9" x14ac:dyDescent="0.25">
      <c r="A125" s="11" t="s">
        <v>113</v>
      </c>
      <c r="B125">
        <v>3093</v>
      </c>
      <c r="C125">
        <v>3106</v>
      </c>
      <c r="D125">
        <v>3285</v>
      </c>
      <c r="E125">
        <v>3575</v>
      </c>
      <c r="F125">
        <v>3622</v>
      </c>
      <c r="G125">
        <v>3449</v>
      </c>
      <c r="H125" s="8">
        <v>3659</v>
      </c>
      <c r="I125" s="8">
        <v>4111</v>
      </c>
    </row>
    <row r="126" spans="1:9" x14ac:dyDescent="0.25">
      <c r="A126" s="11" t="s">
        <v>114</v>
      </c>
      <c r="B126">
        <v>1251</v>
      </c>
      <c r="C126">
        <v>1175</v>
      </c>
      <c r="D126">
        <v>1185</v>
      </c>
      <c r="E126">
        <v>1347</v>
      </c>
      <c r="F126">
        <v>1395</v>
      </c>
      <c r="G126">
        <v>1365</v>
      </c>
      <c r="H126" s="8">
        <v>1494</v>
      </c>
      <c r="I126" s="8">
        <v>1610</v>
      </c>
    </row>
    <row r="127" spans="1:9" x14ac:dyDescent="0.25">
      <c r="A127" s="11" t="s">
        <v>115</v>
      </c>
      <c r="B127">
        <v>309</v>
      </c>
      <c r="C127">
        <v>289</v>
      </c>
      <c r="D127">
        <v>267</v>
      </c>
      <c r="E127">
        <v>244</v>
      </c>
      <c r="F127">
        <v>237</v>
      </c>
      <c r="G127">
        <v>214</v>
      </c>
      <c r="H127">
        <v>190</v>
      </c>
      <c r="I127">
        <v>234</v>
      </c>
    </row>
    <row r="128" spans="1:9" x14ac:dyDescent="0.25">
      <c r="A128" s="2" t="s">
        <v>107</v>
      </c>
      <c r="B128" s="3">
        <v>115</v>
      </c>
      <c r="C128" s="3">
        <v>73</v>
      </c>
      <c r="D128" s="3">
        <v>73</v>
      </c>
      <c r="E128" s="3">
        <v>88</v>
      </c>
      <c r="F128" s="3">
        <v>42</v>
      </c>
      <c r="G128" s="3">
        <v>30</v>
      </c>
      <c r="H128" s="3">
        <v>25</v>
      </c>
      <c r="I128" s="3">
        <v>102</v>
      </c>
    </row>
    <row r="129" spans="1:9" x14ac:dyDescent="0.25">
      <c r="A129" s="4" t="s">
        <v>103</v>
      </c>
      <c r="B129" s="5">
        <f t="shared" ref="B129:I129" si="21">+B112+B116+B120+B124+B128</f>
        <v>28701</v>
      </c>
      <c r="C129" s="5">
        <f t="shared" si="21"/>
        <v>30507</v>
      </c>
      <c r="D129" s="5">
        <f t="shared" si="21"/>
        <v>32233</v>
      </c>
      <c r="E129" s="5">
        <f t="shared" si="21"/>
        <v>34485</v>
      </c>
      <c r="F129" s="5">
        <f t="shared" si="21"/>
        <v>37218</v>
      </c>
      <c r="G129" s="5">
        <f t="shared" si="21"/>
        <v>35568</v>
      </c>
      <c r="H129" s="5">
        <f t="shared" si="21"/>
        <v>42293</v>
      </c>
      <c r="I129" s="5">
        <f t="shared" si="21"/>
        <v>44436</v>
      </c>
    </row>
    <row r="130" spans="1:9" x14ac:dyDescent="0.25">
      <c r="A130" s="2" t="s">
        <v>104</v>
      </c>
      <c r="B130" s="3">
        <v>1982</v>
      </c>
      <c r="C130" s="3">
        <v>1955</v>
      </c>
      <c r="D130" s="3">
        <v>2042</v>
      </c>
      <c r="E130" s="3">
        <v>1886</v>
      </c>
      <c r="F130" s="3">
        <v>1906</v>
      </c>
      <c r="G130" s="3">
        <v>1846</v>
      </c>
      <c r="H130" s="3">
        <f>+SUM(H131:H134)</f>
        <v>2205</v>
      </c>
      <c r="I130" s="3">
        <f>+SUM(I131:I134)</f>
        <v>2346</v>
      </c>
    </row>
    <row r="131" spans="1:9" x14ac:dyDescent="0.25">
      <c r="A131" s="11" t="s">
        <v>113</v>
      </c>
      <c r="B131" s="3">
        <v>0</v>
      </c>
      <c r="C131" s="3">
        <v>0</v>
      </c>
      <c r="D131" s="3">
        <v>0</v>
      </c>
      <c r="E131" s="3">
        <v>0</v>
      </c>
      <c r="F131" s="3">
        <v>0</v>
      </c>
      <c r="G131" s="3">
        <v>0</v>
      </c>
      <c r="H131" s="3">
        <v>1986</v>
      </c>
      <c r="I131" s="3">
        <v>2094</v>
      </c>
    </row>
    <row r="132" spans="1:9" x14ac:dyDescent="0.25">
      <c r="A132" s="11" t="s">
        <v>114</v>
      </c>
      <c r="B132" s="3">
        <v>0</v>
      </c>
      <c r="C132" s="3">
        <v>0</v>
      </c>
      <c r="D132" s="3">
        <v>0</v>
      </c>
      <c r="E132" s="3">
        <v>0</v>
      </c>
      <c r="F132" s="3">
        <v>0</v>
      </c>
      <c r="G132" s="3">
        <v>0</v>
      </c>
      <c r="H132" s="3">
        <v>104</v>
      </c>
      <c r="I132" s="3">
        <v>103</v>
      </c>
    </row>
    <row r="133" spans="1:9" x14ac:dyDescent="0.25">
      <c r="A133" s="11" t="s">
        <v>115</v>
      </c>
      <c r="B133" s="3">
        <v>0</v>
      </c>
      <c r="C133" s="3">
        <v>0</v>
      </c>
      <c r="D133" s="3">
        <v>0</v>
      </c>
      <c r="E133" s="3">
        <v>0</v>
      </c>
      <c r="F133" s="3">
        <v>0</v>
      </c>
      <c r="G133" s="3">
        <v>0</v>
      </c>
      <c r="H133" s="3">
        <v>29</v>
      </c>
      <c r="I133" s="3">
        <v>26</v>
      </c>
    </row>
    <row r="134" spans="1:9" x14ac:dyDescent="0.25">
      <c r="A134" s="11" t="s">
        <v>121</v>
      </c>
      <c r="B134" s="3">
        <v>0</v>
      </c>
      <c r="C134" s="3">
        <v>0</v>
      </c>
      <c r="D134" s="3">
        <v>0</v>
      </c>
      <c r="E134" s="3">
        <v>0</v>
      </c>
      <c r="F134" s="3">
        <v>0</v>
      </c>
      <c r="G134" s="3">
        <v>0</v>
      </c>
      <c r="H134" s="3">
        <v>86</v>
      </c>
      <c r="I134" s="3">
        <v>123</v>
      </c>
    </row>
    <row r="135" spans="1:9" x14ac:dyDescent="0.25">
      <c r="A135" s="2" t="s">
        <v>108</v>
      </c>
      <c r="B135" s="3">
        <v>-82</v>
      </c>
      <c r="C135" s="3">
        <v>-86</v>
      </c>
      <c r="D135" s="3">
        <v>75</v>
      </c>
      <c r="E135" s="3">
        <v>26</v>
      </c>
      <c r="F135" s="3">
        <v>-7</v>
      </c>
      <c r="G135" s="3">
        <v>-11</v>
      </c>
      <c r="H135" s="3">
        <v>40</v>
      </c>
      <c r="I135" s="3">
        <v>-72</v>
      </c>
    </row>
    <row r="136" spans="1:9" ht="15.75" thickBot="1" x14ac:dyDescent="0.3">
      <c r="A136" s="6" t="s">
        <v>105</v>
      </c>
      <c r="B136" s="7">
        <f t="shared" ref="B136:H136" si="22">+B129+B130+B135</f>
        <v>30601</v>
      </c>
      <c r="C136" s="7">
        <f t="shared" si="22"/>
        <v>32376</v>
      </c>
      <c r="D136" s="7">
        <f t="shared" si="22"/>
        <v>34350</v>
      </c>
      <c r="E136" s="7">
        <f t="shared" si="22"/>
        <v>36397</v>
      </c>
      <c r="F136" s="7">
        <f t="shared" si="22"/>
        <v>39117</v>
      </c>
      <c r="G136" s="7">
        <f t="shared" si="22"/>
        <v>37403</v>
      </c>
      <c r="H136" s="7">
        <f t="shared" si="22"/>
        <v>44538</v>
      </c>
      <c r="I136" s="7">
        <f>+I129+I130+I135</f>
        <v>46710</v>
      </c>
    </row>
    <row r="137" spans="1:9" s="12" customFormat="1" ht="15.75" thickTop="1" x14ac:dyDescent="0.25">
      <c r="A137" s="12" t="s">
        <v>111</v>
      </c>
      <c r="B137" s="13">
        <f>+I136-I2</f>
        <v>0</v>
      </c>
      <c r="C137" s="13">
        <f t="shared" ref="C137:H137" si="23">+C136-C2</f>
        <v>0</v>
      </c>
      <c r="D137" s="13">
        <f t="shared" si="23"/>
        <v>0</v>
      </c>
      <c r="E137" s="13">
        <f t="shared" si="23"/>
        <v>0</v>
      </c>
      <c r="F137" s="13">
        <f t="shared" si="23"/>
        <v>0</v>
      </c>
      <c r="G137" s="13">
        <f t="shared" si="23"/>
        <v>0</v>
      </c>
      <c r="H137" s="13">
        <f t="shared" si="23"/>
        <v>0</v>
      </c>
    </row>
    <row r="138" spans="1:9" x14ac:dyDescent="0.25">
      <c r="A138" s="1" t="s">
        <v>110</v>
      </c>
    </row>
    <row r="139" spans="1:9" x14ac:dyDescent="0.25">
      <c r="A139" s="2" t="s">
        <v>100</v>
      </c>
      <c r="B139" s="3">
        <v>3645</v>
      </c>
      <c r="C139" s="3">
        <v>3763</v>
      </c>
      <c r="D139" s="3">
        <v>3875</v>
      </c>
      <c r="E139" s="3">
        <v>3600</v>
      </c>
      <c r="F139" s="3">
        <v>3925</v>
      </c>
      <c r="G139" s="3">
        <v>2899</v>
      </c>
      <c r="H139" s="3">
        <v>5089</v>
      </c>
      <c r="I139" s="3">
        <v>5114</v>
      </c>
    </row>
    <row r="140" spans="1:9" x14ac:dyDescent="0.25">
      <c r="A140" s="2" t="s">
        <v>101</v>
      </c>
      <c r="B140" s="3">
        <v>1524</v>
      </c>
      <c r="C140" s="3">
        <v>1723</v>
      </c>
      <c r="D140" s="3">
        <v>1507</v>
      </c>
      <c r="E140" s="3">
        <v>1587</v>
      </c>
      <c r="F140" s="3">
        <v>1995</v>
      </c>
      <c r="G140" s="3">
        <v>1541</v>
      </c>
      <c r="H140" s="3">
        <v>2435</v>
      </c>
      <c r="I140" s="3">
        <v>3293</v>
      </c>
    </row>
    <row r="141" spans="1:9" x14ac:dyDescent="0.25">
      <c r="A141" s="2" t="s">
        <v>102</v>
      </c>
      <c r="B141" s="3">
        <v>993</v>
      </c>
      <c r="C141" s="3">
        <v>1372</v>
      </c>
      <c r="D141" s="3">
        <v>1507</v>
      </c>
      <c r="E141" s="3">
        <v>1807</v>
      </c>
      <c r="F141" s="3">
        <v>2376</v>
      </c>
      <c r="G141" s="3">
        <v>2490</v>
      </c>
      <c r="H141" s="3">
        <v>3243</v>
      </c>
      <c r="I141" s="3">
        <v>2365</v>
      </c>
    </row>
    <row r="142" spans="1:9" x14ac:dyDescent="0.25">
      <c r="A142" s="2" t="s">
        <v>106</v>
      </c>
      <c r="B142" s="3">
        <v>918</v>
      </c>
      <c r="C142" s="3">
        <v>1066</v>
      </c>
      <c r="D142" s="3">
        <v>980</v>
      </c>
      <c r="E142" s="3">
        <v>1189</v>
      </c>
      <c r="F142" s="3">
        <v>1323</v>
      </c>
      <c r="G142" s="3">
        <v>1184</v>
      </c>
      <c r="H142" s="3">
        <v>1530</v>
      </c>
      <c r="I142" s="3">
        <v>1896</v>
      </c>
    </row>
    <row r="143" spans="1:9" x14ac:dyDescent="0.25">
      <c r="A143" s="2" t="s">
        <v>107</v>
      </c>
      <c r="B143" s="3">
        <v>-2263</v>
      </c>
      <c r="C143" s="3">
        <v>-2596</v>
      </c>
      <c r="D143" s="3">
        <v>-2677</v>
      </c>
      <c r="E143" s="3">
        <v>-2658</v>
      </c>
      <c r="F143" s="3">
        <v>-3262</v>
      </c>
      <c r="G143" s="3">
        <v>-3468</v>
      </c>
      <c r="H143" s="3">
        <v>-3656</v>
      </c>
      <c r="I143" s="3">
        <v>-4262</v>
      </c>
    </row>
    <row r="144" spans="1:9" x14ac:dyDescent="0.25">
      <c r="A144" s="4" t="s">
        <v>103</v>
      </c>
      <c r="B144" s="5">
        <v>4817</v>
      </c>
      <c r="C144" s="5">
        <v>5328</v>
      </c>
      <c r="D144" s="5">
        <v>5192</v>
      </c>
      <c r="E144" s="5">
        <v>5525</v>
      </c>
      <c r="F144" s="5">
        <v>6357</v>
      </c>
      <c r="G144" s="5">
        <v>4646</v>
      </c>
      <c r="H144" s="5">
        <f t="shared" ref="H144:I144" si="24">+SUM(H139:H143)</f>
        <v>8641</v>
      </c>
      <c r="I144" s="5">
        <f t="shared" si="24"/>
        <v>8406</v>
      </c>
    </row>
    <row r="145" spans="1:9" x14ac:dyDescent="0.25">
      <c r="A145" s="2" t="s">
        <v>104</v>
      </c>
      <c r="B145" s="3">
        <v>517</v>
      </c>
      <c r="C145" s="3">
        <v>487</v>
      </c>
      <c r="D145" s="3">
        <v>477</v>
      </c>
      <c r="E145" s="3">
        <v>310</v>
      </c>
      <c r="F145" s="3">
        <v>303</v>
      </c>
      <c r="G145" s="3">
        <v>297</v>
      </c>
      <c r="H145" s="3">
        <v>543</v>
      </c>
      <c r="I145" s="3">
        <v>669</v>
      </c>
    </row>
    <row r="146" spans="1:9" x14ac:dyDescent="0.25">
      <c r="A146" s="2" t="s">
        <v>108</v>
      </c>
      <c r="B146" s="3">
        <v>-1101</v>
      </c>
      <c r="C146" s="3">
        <v>-1173</v>
      </c>
      <c r="D146" s="3">
        <v>-724</v>
      </c>
      <c r="E146" s="3">
        <v>-1456</v>
      </c>
      <c r="F146" s="3">
        <v>-1810</v>
      </c>
      <c r="G146" s="3">
        <v>-1967</v>
      </c>
      <c r="H146" s="3">
        <v>-2261</v>
      </c>
      <c r="I146" s="3">
        <v>-2219</v>
      </c>
    </row>
    <row r="147" spans="1:9" ht="15.75" thickBot="1" x14ac:dyDescent="0.3">
      <c r="A147" s="6" t="s">
        <v>112</v>
      </c>
      <c r="B147" s="7">
        <v>4233</v>
      </c>
      <c r="C147" s="7">
        <v>4642</v>
      </c>
      <c r="D147" s="7">
        <v>4945</v>
      </c>
      <c r="E147" s="7">
        <v>4379</v>
      </c>
      <c r="F147" s="7">
        <v>4850</v>
      </c>
      <c r="G147" s="7">
        <v>2976</v>
      </c>
      <c r="H147" s="7">
        <f t="shared" ref="H147" si="25">+SUM(H144:H146)</f>
        <v>6923</v>
      </c>
      <c r="I147" s="7">
        <f>+SUM(I144:I146)</f>
        <v>6856</v>
      </c>
    </row>
    <row r="148" spans="1:9" s="12" customFormat="1" ht="15.75" thickTop="1" x14ac:dyDescent="0.25">
      <c r="A148" s="12" t="s">
        <v>111</v>
      </c>
      <c r="B148" s="13">
        <f t="shared" ref="B148:I148" si="26">+B147-B10-B8</f>
        <v>0</v>
      </c>
      <c r="C148" s="13">
        <f t="shared" si="26"/>
        <v>0</v>
      </c>
      <c r="D148" s="13">
        <f t="shared" si="26"/>
        <v>0</v>
      </c>
      <c r="E148" s="13">
        <f t="shared" si="26"/>
        <v>0</v>
      </c>
      <c r="F148" s="13">
        <f t="shared" si="26"/>
        <v>0</v>
      </c>
      <c r="G148" s="13">
        <f t="shared" si="26"/>
        <v>0</v>
      </c>
      <c r="H148" s="13">
        <f t="shared" si="26"/>
        <v>0</v>
      </c>
      <c r="I148" s="13">
        <f t="shared" si="26"/>
        <v>0</v>
      </c>
    </row>
    <row r="149" spans="1:9" x14ac:dyDescent="0.25">
      <c r="A149" s="1" t="s">
        <v>117</v>
      </c>
    </row>
    <row r="150" spans="1:9" x14ac:dyDescent="0.25">
      <c r="A150" s="2" t="s">
        <v>100</v>
      </c>
      <c r="B150" s="3">
        <v>632</v>
      </c>
      <c r="C150" s="3">
        <v>742</v>
      </c>
      <c r="D150" s="3">
        <v>819</v>
      </c>
      <c r="E150" s="3">
        <v>848</v>
      </c>
      <c r="F150" s="3">
        <v>814</v>
      </c>
      <c r="G150" s="3">
        <v>645</v>
      </c>
      <c r="H150" s="3">
        <v>617</v>
      </c>
      <c r="I150" s="3">
        <v>639</v>
      </c>
    </row>
    <row r="151" spans="1:9" x14ac:dyDescent="0.25">
      <c r="A151" s="2" t="s">
        <v>101</v>
      </c>
      <c r="B151" s="3">
        <v>498</v>
      </c>
      <c r="C151" s="3">
        <v>639</v>
      </c>
      <c r="D151" s="3">
        <v>709</v>
      </c>
      <c r="E151" s="3">
        <v>849</v>
      </c>
      <c r="F151" s="3">
        <v>929</v>
      </c>
      <c r="G151" s="3">
        <v>885</v>
      </c>
      <c r="H151" s="3">
        <v>982</v>
      </c>
      <c r="I151" s="3">
        <v>920</v>
      </c>
    </row>
    <row r="152" spans="1:9" x14ac:dyDescent="0.25">
      <c r="A152" s="2" t="s">
        <v>102</v>
      </c>
      <c r="B152" s="3">
        <v>254</v>
      </c>
      <c r="C152" s="3">
        <v>234</v>
      </c>
      <c r="D152" s="3">
        <v>225</v>
      </c>
      <c r="E152" s="3">
        <v>256</v>
      </c>
      <c r="F152" s="3">
        <v>237</v>
      </c>
      <c r="G152" s="3">
        <v>214</v>
      </c>
      <c r="H152" s="3">
        <v>288</v>
      </c>
      <c r="I152" s="3">
        <v>303</v>
      </c>
    </row>
    <row r="153" spans="1:9" x14ac:dyDescent="0.25">
      <c r="A153" s="2" t="s">
        <v>118</v>
      </c>
      <c r="B153" s="3">
        <v>308</v>
      </c>
      <c r="C153" s="3">
        <v>332</v>
      </c>
      <c r="D153" s="3">
        <v>340</v>
      </c>
      <c r="E153" s="3">
        <v>339</v>
      </c>
      <c r="F153" s="3">
        <v>326</v>
      </c>
      <c r="G153" s="3">
        <v>296</v>
      </c>
      <c r="H153" s="3">
        <v>304</v>
      </c>
      <c r="I153" s="3">
        <v>274</v>
      </c>
    </row>
    <row r="154" spans="1:9" x14ac:dyDescent="0.25">
      <c r="A154" s="2" t="s">
        <v>107</v>
      </c>
      <c r="B154" s="3">
        <v>484</v>
      </c>
      <c r="C154" s="3">
        <v>511</v>
      </c>
      <c r="D154" s="3">
        <v>533</v>
      </c>
      <c r="E154" s="3">
        <v>597</v>
      </c>
      <c r="F154" s="3">
        <v>665</v>
      </c>
      <c r="G154" s="3">
        <v>830</v>
      </c>
      <c r="H154" s="3">
        <v>780</v>
      </c>
      <c r="I154" s="3">
        <v>789</v>
      </c>
    </row>
    <row r="155" spans="1:9" x14ac:dyDescent="0.25">
      <c r="A155" s="4" t="s">
        <v>119</v>
      </c>
      <c r="B155" s="5">
        <v>2176</v>
      </c>
      <c r="C155" s="5">
        <v>2458</v>
      </c>
      <c r="D155" s="5">
        <v>2626</v>
      </c>
      <c r="E155" s="5">
        <v>2889</v>
      </c>
      <c r="F155" s="5">
        <v>2971</v>
      </c>
      <c r="G155" s="5">
        <v>2870</v>
      </c>
      <c r="H155" s="5">
        <f t="shared" ref="H155:I155" si="27">+SUM(H150:H154)</f>
        <v>2971</v>
      </c>
      <c r="I155" s="5">
        <f t="shared" si="27"/>
        <v>2925</v>
      </c>
    </row>
    <row r="156" spans="1:9" x14ac:dyDescent="0.25">
      <c r="A156" s="2" t="s">
        <v>104</v>
      </c>
      <c r="B156" s="3">
        <v>122</v>
      </c>
      <c r="C156" s="3">
        <v>125</v>
      </c>
      <c r="D156" s="3">
        <v>125</v>
      </c>
      <c r="E156" s="3">
        <v>115</v>
      </c>
      <c r="F156" s="3">
        <v>100</v>
      </c>
      <c r="G156" s="3">
        <v>80</v>
      </c>
      <c r="H156" s="3">
        <v>63</v>
      </c>
      <c r="I156" s="3">
        <v>49</v>
      </c>
    </row>
    <row r="157" spans="1:9" x14ac:dyDescent="0.25">
      <c r="A157" s="2" t="s">
        <v>108</v>
      </c>
      <c r="B157" s="3">
        <v>713</v>
      </c>
      <c r="C157" s="3">
        <v>937</v>
      </c>
      <c r="D157" s="3">
        <v>1238</v>
      </c>
      <c r="E157" s="3">
        <v>1450</v>
      </c>
      <c r="F157" s="3">
        <v>1673</v>
      </c>
      <c r="G157" s="3">
        <v>1916</v>
      </c>
      <c r="H157" s="3">
        <v>1870</v>
      </c>
      <c r="I157" s="3">
        <v>1817</v>
      </c>
    </row>
    <row r="158" spans="1:9" ht="15.75" thickBot="1" x14ac:dyDescent="0.3">
      <c r="A158" s="6" t="s">
        <v>120</v>
      </c>
      <c r="B158" s="7">
        <v>3011</v>
      </c>
      <c r="C158" s="7">
        <v>3520</v>
      </c>
      <c r="D158" s="7">
        <v>3989</v>
      </c>
      <c r="E158" s="7">
        <v>4454</v>
      </c>
      <c r="F158" s="7">
        <v>4744</v>
      </c>
      <c r="G158" s="7">
        <v>4866</v>
      </c>
      <c r="H158" s="7">
        <f t="shared" ref="H158" si="28">+SUM(H155:H157)</f>
        <v>4904</v>
      </c>
      <c r="I158" s="7">
        <f>+SUM(I155:I157)</f>
        <v>4791</v>
      </c>
    </row>
    <row r="159" spans="1:9" ht="15.75" thickTop="1" x14ac:dyDescent="0.25">
      <c r="A159" s="12" t="s">
        <v>111</v>
      </c>
      <c r="B159" s="13">
        <f t="shared" ref="B159:I159" si="29">+B158-B32</f>
        <v>0</v>
      </c>
      <c r="C159" s="13">
        <f t="shared" si="29"/>
        <v>0</v>
      </c>
      <c r="D159" s="13">
        <f t="shared" si="29"/>
        <v>0</v>
      </c>
      <c r="E159" s="13">
        <f t="shared" si="29"/>
        <v>0</v>
      </c>
      <c r="F159" s="13">
        <f t="shared" si="29"/>
        <v>0</v>
      </c>
      <c r="G159" s="13">
        <f t="shared" si="29"/>
        <v>0</v>
      </c>
      <c r="H159" s="13">
        <f t="shared" si="29"/>
        <v>0</v>
      </c>
      <c r="I159" s="13">
        <f t="shared" si="29"/>
        <v>0</v>
      </c>
    </row>
    <row r="160" spans="1:9" x14ac:dyDescent="0.25">
      <c r="A160" s="1" t="s">
        <v>122</v>
      </c>
    </row>
    <row r="161" spans="1:9" x14ac:dyDescent="0.25">
      <c r="A161" s="2" t="s">
        <v>100</v>
      </c>
      <c r="B161" s="3">
        <v>208</v>
      </c>
      <c r="C161" s="3">
        <v>242</v>
      </c>
      <c r="D161" s="3">
        <v>223</v>
      </c>
      <c r="E161" s="3">
        <v>196</v>
      </c>
      <c r="F161" s="3">
        <v>117</v>
      </c>
      <c r="G161" s="3">
        <v>110</v>
      </c>
      <c r="H161" s="3">
        <v>98</v>
      </c>
      <c r="I161" s="3">
        <v>146</v>
      </c>
    </row>
    <row r="162" spans="1:9" x14ac:dyDescent="0.25">
      <c r="A162" s="2" t="s">
        <v>101</v>
      </c>
      <c r="B162" s="3">
        <v>424</v>
      </c>
      <c r="C162" s="3">
        <v>457</v>
      </c>
      <c r="D162" s="3">
        <v>173</v>
      </c>
      <c r="E162" s="3">
        <v>240</v>
      </c>
      <c r="F162" s="3">
        <v>233</v>
      </c>
      <c r="G162" s="3">
        <v>139</v>
      </c>
      <c r="H162" s="3">
        <v>153</v>
      </c>
      <c r="I162" s="3">
        <v>197</v>
      </c>
    </row>
    <row r="163" spans="1:9" x14ac:dyDescent="0.25">
      <c r="A163" s="2" t="s">
        <v>102</v>
      </c>
      <c r="B163" s="3">
        <v>69</v>
      </c>
      <c r="C163" s="3">
        <v>44</v>
      </c>
      <c r="D163" s="3">
        <v>51</v>
      </c>
      <c r="E163" s="3">
        <v>76</v>
      </c>
      <c r="F163" s="3">
        <v>49</v>
      </c>
      <c r="G163" s="3">
        <v>28</v>
      </c>
      <c r="H163" s="3">
        <v>94</v>
      </c>
      <c r="I163" s="3">
        <v>78</v>
      </c>
    </row>
    <row r="164" spans="1:9" x14ac:dyDescent="0.25">
      <c r="A164" s="2" t="s">
        <v>118</v>
      </c>
      <c r="B164" s="3">
        <v>52</v>
      </c>
      <c r="C164" s="3">
        <v>64</v>
      </c>
      <c r="D164" s="3">
        <v>59</v>
      </c>
      <c r="E164" s="3">
        <v>49</v>
      </c>
      <c r="F164" s="3">
        <v>47</v>
      </c>
      <c r="G164" s="3">
        <v>41</v>
      </c>
      <c r="H164" s="3">
        <v>54</v>
      </c>
      <c r="I164" s="3">
        <v>56</v>
      </c>
    </row>
    <row r="165" spans="1:9" x14ac:dyDescent="0.25">
      <c r="A165" s="2" t="s">
        <v>107</v>
      </c>
      <c r="B165" s="3">
        <v>225</v>
      </c>
      <c r="C165" s="3">
        <v>258</v>
      </c>
      <c r="D165" s="3">
        <v>278</v>
      </c>
      <c r="E165" s="3">
        <v>286</v>
      </c>
      <c r="F165" s="3">
        <v>278</v>
      </c>
      <c r="G165" s="3">
        <v>438</v>
      </c>
      <c r="H165" s="3">
        <v>278</v>
      </c>
      <c r="I165" s="3">
        <v>222</v>
      </c>
    </row>
    <row r="166" spans="1:9" x14ac:dyDescent="0.25">
      <c r="A166" s="4" t="s">
        <v>119</v>
      </c>
      <c r="B166" s="5">
        <v>978</v>
      </c>
      <c r="C166" s="5">
        <v>1065</v>
      </c>
      <c r="D166" s="5">
        <v>784</v>
      </c>
      <c r="E166" s="5">
        <v>847</v>
      </c>
      <c r="F166" s="5">
        <v>724</v>
      </c>
      <c r="G166" s="5">
        <v>756</v>
      </c>
      <c r="H166" s="5">
        <f t="shared" ref="H166:I166" si="30">+SUM(H161:H165)</f>
        <v>677</v>
      </c>
      <c r="I166" s="5">
        <f t="shared" si="30"/>
        <v>699</v>
      </c>
    </row>
    <row r="167" spans="1:9" x14ac:dyDescent="0.25">
      <c r="A167" s="2" t="s">
        <v>104</v>
      </c>
      <c r="B167" s="3">
        <v>69</v>
      </c>
      <c r="C167" s="3">
        <v>39</v>
      </c>
      <c r="D167" s="3">
        <v>30</v>
      </c>
      <c r="E167" s="3">
        <v>22</v>
      </c>
      <c r="F167" s="3">
        <v>18</v>
      </c>
      <c r="G167" s="3">
        <v>12</v>
      </c>
      <c r="H167" s="3">
        <v>7</v>
      </c>
      <c r="I167" s="3">
        <v>9</v>
      </c>
    </row>
    <row r="168" spans="1:9" x14ac:dyDescent="0.25">
      <c r="A168" s="2" t="s">
        <v>108</v>
      </c>
      <c r="B168" s="3">
        <f>-(SUM(B166:B167)+B83)</f>
        <v>-84</v>
      </c>
      <c r="C168" s="3">
        <f t="shared" ref="C168:H168" si="31">-(SUM(C166:C167)+C83)</f>
        <v>39</v>
      </c>
      <c r="D168" s="3">
        <f t="shared" si="31"/>
        <v>291</v>
      </c>
      <c r="E168" s="3">
        <f t="shared" si="31"/>
        <v>159</v>
      </c>
      <c r="F168" s="3">
        <f t="shared" si="31"/>
        <v>377</v>
      </c>
      <c r="G168" s="3">
        <f t="shared" si="31"/>
        <v>318</v>
      </c>
      <c r="H168" s="3">
        <f t="shared" si="31"/>
        <v>11</v>
      </c>
      <c r="I168" s="3">
        <f>-(SUM(I166:I167)+I83)</f>
        <v>50</v>
      </c>
    </row>
    <row r="169" spans="1:9" ht="15.75" thickBot="1" x14ac:dyDescent="0.3">
      <c r="A169" s="6" t="s">
        <v>123</v>
      </c>
      <c r="B169" s="7">
        <f t="shared" ref="B169:H169" si="32">+SUM(B166:B168)</f>
        <v>963</v>
      </c>
      <c r="C169" s="7">
        <f t="shared" si="32"/>
        <v>1143</v>
      </c>
      <c r="D169" s="7">
        <f t="shared" si="32"/>
        <v>1105</v>
      </c>
      <c r="E169" s="7">
        <f t="shared" si="32"/>
        <v>1028</v>
      </c>
      <c r="F169" s="7">
        <f t="shared" si="32"/>
        <v>1119</v>
      </c>
      <c r="G169" s="7">
        <f t="shared" si="32"/>
        <v>1086</v>
      </c>
      <c r="H169" s="7">
        <f t="shared" si="32"/>
        <v>695</v>
      </c>
      <c r="I169" s="7">
        <f>+SUM(I166:I168)</f>
        <v>758</v>
      </c>
    </row>
    <row r="170" spans="1:9" ht="15.75" thickTop="1" x14ac:dyDescent="0.25">
      <c r="A170" s="12" t="s">
        <v>111</v>
      </c>
      <c r="B170" s="13">
        <f t="shared" ref="B170:H170" si="33">+B169+B83</f>
        <v>0</v>
      </c>
      <c r="C170" s="13">
        <f t="shared" si="33"/>
        <v>0</v>
      </c>
      <c r="D170" s="13">
        <f t="shared" si="33"/>
        <v>0</v>
      </c>
      <c r="E170" s="13">
        <f t="shared" si="33"/>
        <v>0</v>
      </c>
      <c r="F170" s="13">
        <f t="shared" si="33"/>
        <v>0</v>
      </c>
      <c r="G170" s="13">
        <f t="shared" si="33"/>
        <v>0</v>
      </c>
      <c r="H170" s="13">
        <f t="shared" si="33"/>
        <v>0</v>
      </c>
      <c r="I170" s="13">
        <f>+I169+I83</f>
        <v>0</v>
      </c>
    </row>
    <row r="171" spans="1:9" x14ac:dyDescent="0.25">
      <c r="A171" s="1" t="s">
        <v>124</v>
      </c>
    </row>
    <row r="172" spans="1:9" x14ac:dyDescent="0.25">
      <c r="A172" s="2" t="s">
        <v>100</v>
      </c>
      <c r="B172" s="3">
        <v>121</v>
      </c>
      <c r="C172" s="3">
        <v>133</v>
      </c>
      <c r="D172" s="3">
        <v>140</v>
      </c>
      <c r="E172" s="3">
        <v>160</v>
      </c>
      <c r="F172" s="3">
        <v>149</v>
      </c>
      <c r="G172" s="3">
        <v>148</v>
      </c>
      <c r="H172" s="3">
        <v>130</v>
      </c>
      <c r="I172" s="3">
        <v>124</v>
      </c>
    </row>
    <row r="173" spans="1:9" x14ac:dyDescent="0.25">
      <c r="A173" s="2" t="s">
        <v>101</v>
      </c>
      <c r="B173" s="3">
        <v>87</v>
      </c>
      <c r="C173" s="3">
        <v>84</v>
      </c>
      <c r="D173" s="3">
        <v>106</v>
      </c>
      <c r="E173" s="3">
        <v>116</v>
      </c>
      <c r="F173" s="3">
        <v>111</v>
      </c>
      <c r="G173" s="3">
        <v>132</v>
      </c>
      <c r="H173" s="3">
        <v>136</v>
      </c>
      <c r="I173" s="3">
        <v>134</v>
      </c>
    </row>
    <row r="174" spans="1:9" x14ac:dyDescent="0.25">
      <c r="A174" s="2" t="s">
        <v>102</v>
      </c>
      <c r="B174" s="3">
        <v>46</v>
      </c>
      <c r="C174" s="3">
        <v>48</v>
      </c>
      <c r="D174" s="3">
        <v>54</v>
      </c>
      <c r="E174" s="3">
        <v>56</v>
      </c>
      <c r="F174" s="3">
        <v>50</v>
      </c>
      <c r="G174" s="3">
        <v>44</v>
      </c>
      <c r="H174" s="3">
        <v>46</v>
      </c>
      <c r="I174" s="3">
        <v>41</v>
      </c>
    </row>
    <row r="175" spans="1:9" x14ac:dyDescent="0.25">
      <c r="A175" s="2" t="s">
        <v>106</v>
      </c>
      <c r="B175" s="3">
        <v>49</v>
      </c>
      <c r="C175" s="3">
        <v>43</v>
      </c>
      <c r="D175" s="3">
        <v>54</v>
      </c>
      <c r="E175" s="3">
        <v>55</v>
      </c>
      <c r="F175" s="3">
        <v>53</v>
      </c>
      <c r="G175" s="3">
        <v>46</v>
      </c>
      <c r="H175" s="3">
        <v>43</v>
      </c>
      <c r="I175" s="3">
        <v>42</v>
      </c>
    </row>
    <row r="176" spans="1:9" x14ac:dyDescent="0.25">
      <c r="A176" s="2" t="s">
        <v>107</v>
      </c>
      <c r="B176" s="3">
        <v>210</v>
      </c>
      <c r="C176" s="3">
        <v>230</v>
      </c>
      <c r="D176" s="3">
        <v>233</v>
      </c>
      <c r="E176" s="3">
        <v>217</v>
      </c>
      <c r="F176" s="3">
        <v>195</v>
      </c>
      <c r="G176" s="3">
        <v>214</v>
      </c>
      <c r="H176" s="3">
        <v>222</v>
      </c>
      <c r="I176" s="3">
        <v>220</v>
      </c>
    </row>
    <row r="177" spans="1:9" x14ac:dyDescent="0.25">
      <c r="A177" s="4" t="s">
        <v>119</v>
      </c>
      <c r="B177" s="5">
        <v>513</v>
      </c>
      <c r="C177" s="5">
        <v>538</v>
      </c>
      <c r="D177" s="5">
        <v>587</v>
      </c>
      <c r="E177" s="5">
        <v>604</v>
      </c>
      <c r="F177" s="5">
        <v>558</v>
      </c>
      <c r="G177" s="5">
        <v>584</v>
      </c>
      <c r="H177" s="5">
        <f t="shared" ref="H177:I177" si="34">+SUM(H172:H176)</f>
        <v>577</v>
      </c>
      <c r="I177" s="5">
        <f t="shared" si="34"/>
        <v>561</v>
      </c>
    </row>
    <row r="178" spans="1:9" x14ac:dyDescent="0.25">
      <c r="A178" s="2" t="s">
        <v>104</v>
      </c>
      <c r="B178" s="3">
        <v>18</v>
      </c>
      <c r="C178" s="3">
        <v>27</v>
      </c>
      <c r="D178" s="3">
        <v>28</v>
      </c>
      <c r="E178" s="3">
        <v>33</v>
      </c>
      <c r="F178" s="3">
        <v>31</v>
      </c>
      <c r="G178" s="3">
        <v>25</v>
      </c>
      <c r="H178" s="3">
        <v>26</v>
      </c>
      <c r="I178" s="3">
        <v>22</v>
      </c>
    </row>
    <row r="179" spans="1:9" x14ac:dyDescent="0.25">
      <c r="A179" s="2" t="s">
        <v>108</v>
      </c>
      <c r="B179" s="3">
        <v>75</v>
      </c>
      <c r="C179" s="3">
        <v>84</v>
      </c>
      <c r="D179" s="3">
        <v>91</v>
      </c>
      <c r="E179" s="3">
        <v>110</v>
      </c>
      <c r="F179" s="3">
        <v>116</v>
      </c>
      <c r="G179" s="3">
        <v>112</v>
      </c>
      <c r="H179" s="3">
        <v>141</v>
      </c>
      <c r="I179" s="3">
        <v>134</v>
      </c>
    </row>
    <row r="180" spans="1:9" ht="15.75" thickBot="1" x14ac:dyDescent="0.3">
      <c r="A180" s="6" t="s">
        <v>125</v>
      </c>
      <c r="B180" s="7">
        <v>606</v>
      </c>
      <c r="C180" s="7">
        <v>649</v>
      </c>
      <c r="D180" s="7">
        <v>706</v>
      </c>
      <c r="E180" s="7">
        <v>747</v>
      </c>
      <c r="F180" s="7">
        <v>705</v>
      </c>
      <c r="G180" s="7">
        <v>721</v>
      </c>
      <c r="H180" s="7">
        <f t="shared" ref="H180" si="35">+SUM(H177:H179)</f>
        <v>744</v>
      </c>
      <c r="I180" s="7">
        <f>+SUM(I177:I179)</f>
        <v>717</v>
      </c>
    </row>
    <row r="181" spans="1:9" ht="15.75" thickTop="1" x14ac:dyDescent="0.25">
      <c r="A181" s="12" t="s">
        <v>111</v>
      </c>
      <c r="B181" s="13">
        <f t="shared" ref="B181:I181" si="36">+B180-B67</f>
        <v>0</v>
      </c>
      <c r="C181" s="13">
        <f t="shared" si="36"/>
        <v>0</v>
      </c>
      <c r="D181" s="13">
        <f t="shared" si="36"/>
        <v>0</v>
      </c>
      <c r="E181" s="13">
        <f t="shared" si="36"/>
        <v>0</v>
      </c>
      <c r="F181" s="13">
        <f t="shared" si="36"/>
        <v>0</v>
      </c>
      <c r="G181" s="13">
        <f t="shared" si="36"/>
        <v>0</v>
      </c>
      <c r="H181" s="13">
        <f t="shared" si="36"/>
        <v>0</v>
      </c>
      <c r="I181" s="13">
        <f t="shared" si="36"/>
        <v>0</v>
      </c>
    </row>
    <row r="182" spans="1:9" x14ac:dyDescent="0.25">
      <c r="A182" s="14" t="s">
        <v>126</v>
      </c>
      <c r="B182" s="14"/>
      <c r="C182" s="14"/>
      <c r="D182" s="14"/>
      <c r="E182" s="14"/>
      <c r="F182" s="14"/>
      <c r="G182" s="14"/>
      <c r="H182" s="14"/>
      <c r="I182" s="14"/>
    </row>
    <row r="183" spans="1:9" x14ac:dyDescent="0.25">
      <c r="A183" s="27" t="s">
        <v>127</v>
      </c>
    </row>
    <row r="184" spans="1:9" x14ac:dyDescent="0.25">
      <c r="A184" s="32" t="s">
        <v>100</v>
      </c>
      <c r="B184" s="33"/>
      <c r="C184" s="33">
        <v>7.4526928675400297E-2</v>
      </c>
      <c r="D184" s="33">
        <v>3.061500948252506E-2</v>
      </c>
      <c r="E184" s="33">
        <v>-2.4301581958936384E-2</v>
      </c>
      <c r="F184" s="33">
        <v>7.0481319421070346E-2</v>
      </c>
      <c r="G184" s="33">
        <v>-8.9171173437303478E-2</v>
      </c>
      <c r="H184" s="33">
        <v>0.18606738470035902</v>
      </c>
      <c r="I184" s="33">
        <v>7.0000000000000007E-2</v>
      </c>
    </row>
    <row r="185" spans="1:9" x14ac:dyDescent="0.25">
      <c r="A185" s="30" t="s">
        <v>113</v>
      </c>
      <c r="B185" s="29"/>
      <c r="C185" s="29">
        <v>9.3228309428638606E-2</v>
      </c>
      <c r="D185" s="29">
        <v>4.1402301322722872E-2</v>
      </c>
      <c r="E185" s="29">
        <v>-3.7381247418422137E-2</v>
      </c>
      <c r="F185" s="29">
        <v>7.7558463848959452E-2</v>
      </c>
      <c r="G185" s="29">
        <v>-7.1279243404678949E-2</v>
      </c>
      <c r="H185" s="29">
        <v>0.24815092721620752</v>
      </c>
      <c r="I185" s="29">
        <v>0.05</v>
      </c>
    </row>
    <row r="186" spans="1:9" x14ac:dyDescent="0.25">
      <c r="A186" s="30" t="s">
        <v>114</v>
      </c>
      <c r="B186" s="29"/>
      <c r="C186" s="29">
        <v>7.6190476190476197E-2</v>
      </c>
      <c r="D186" s="29">
        <v>2.9498525073746312E-2</v>
      </c>
      <c r="E186" s="29">
        <v>1.0642652476463364E-2</v>
      </c>
      <c r="F186" s="29">
        <v>6.5208586472255969E-2</v>
      </c>
      <c r="G186" s="29">
        <v>-0.11806083650190113</v>
      </c>
      <c r="H186" s="29">
        <v>8.3854278939426596E-2</v>
      </c>
      <c r="I186" s="29">
        <v>0.09</v>
      </c>
    </row>
    <row r="187" spans="1:9" x14ac:dyDescent="0.25">
      <c r="A187" s="30" t="s">
        <v>115</v>
      </c>
      <c r="B187" s="29"/>
      <c r="C187" s="29">
        <v>-0.12742718446601942</v>
      </c>
      <c r="D187" s="29">
        <v>-0.10152990264255911</v>
      </c>
      <c r="E187" s="29">
        <v>-7.8947368421052627E-2</v>
      </c>
      <c r="F187" s="29">
        <v>3.3613445378151263E-3</v>
      </c>
      <c r="G187" s="29">
        <v>-0.135678391959799</v>
      </c>
      <c r="H187" s="29">
        <v>-1.7441860465116279E-2</v>
      </c>
      <c r="I187" s="29">
        <v>0.25</v>
      </c>
    </row>
    <row r="188" spans="1:9" x14ac:dyDescent="0.25">
      <c r="A188" s="32" t="s">
        <v>101</v>
      </c>
      <c r="B188" s="33"/>
      <c r="C188" s="33">
        <v>-0.31349782293178519</v>
      </c>
      <c r="D188" s="33">
        <v>5.3118393234672302E-2</v>
      </c>
      <c r="E188" s="33">
        <v>0.15959849435382686</v>
      </c>
      <c r="F188" s="33">
        <v>6.1674962129409219E-2</v>
      </c>
      <c r="G188" s="33">
        <v>-4.7390949857317573E-2</v>
      </c>
      <c r="H188" s="33">
        <v>0.22563389322777361</v>
      </c>
      <c r="I188" s="33">
        <v>0.12</v>
      </c>
    </row>
    <row r="189" spans="1:9" x14ac:dyDescent="0.25">
      <c r="A189" s="30" t="s">
        <v>113</v>
      </c>
      <c r="B189" s="29"/>
      <c r="C189" s="29">
        <v>-0.31331699346405228</v>
      </c>
      <c r="D189" s="29">
        <v>2.9545905215149711E-2</v>
      </c>
      <c r="E189" s="29">
        <v>0.13154853620955315</v>
      </c>
      <c r="F189" s="29">
        <v>7.114893617021277E-2</v>
      </c>
      <c r="G189" s="29">
        <v>-6.3721595423486418E-2</v>
      </c>
      <c r="H189" s="29">
        <v>0.18295994568906992</v>
      </c>
      <c r="I189" s="29">
        <v>0.09</v>
      </c>
    </row>
    <row r="190" spans="1:9" x14ac:dyDescent="0.25">
      <c r="A190" s="30" t="s">
        <v>114</v>
      </c>
      <c r="B190" s="29"/>
      <c r="C190" s="29">
        <v>-0.30045572916666669</v>
      </c>
      <c r="D190" s="29">
        <v>0.11447184737087017</v>
      </c>
      <c r="E190" s="29">
        <v>0.22755741127348644</v>
      </c>
      <c r="F190" s="29">
        <v>0.05</v>
      </c>
      <c r="G190" s="29">
        <v>-1.101392938127632E-2</v>
      </c>
      <c r="H190" s="29">
        <v>0.30887651490337376</v>
      </c>
      <c r="I190" s="29">
        <v>0.16</v>
      </c>
    </row>
    <row r="191" spans="1:9" x14ac:dyDescent="0.25">
      <c r="A191" s="30" t="s">
        <v>115</v>
      </c>
      <c r="B191" s="29"/>
      <c r="C191" s="29">
        <v>-0.38157894736842107</v>
      </c>
      <c r="D191" s="29">
        <v>1.8617021276595744E-2</v>
      </c>
      <c r="E191" s="29">
        <v>0.11488250652741515</v>
      </c>
      <c r="F191" s="29">
        <v>1.1709601873536301E-2</v>
      </c>
      <c r="G191" s="29">
        <v>-6.9444444444444448E-2</v>
      </c>
      <c r="H191" s="29">
        <v>0.21890547263681592</v>
      </c>
      <c r="I191" s="29">
        <v>0.17</v>
      </c>
    </row>
    <row r="192" spans="1:9" x14ac:dyDescent="0.25">
      <c r="A192" s="32" t="s">
        <v>102</v>
      </c>
      <c r="B192" s="33"/>
      <c r="C192" s="33">
        <v>0.23410498858819692</v>
      </c>
      <c r="D192" s="33">
        <v>0.11941875825627477</v>
      </c>
      <c r="E192" s="33">
        <v>0.21170639603493038</v>
      </c>
      <c r="F192" s="33">
        <v>0.20919361121932217</v>
      </c>
      <c r="G192" s="33">
        <v>7.5869845360824736E-2</v>
      </c>
      <c r="H192" s="33">
        <v>0.24120377301991316</v>
      </c>
      <c r="I192" s="33">
        <v>-0.13</v>
      </c>
    </row>
    <row r="193" spans="1:9" x14ac:dyDescent="0.25">
      <c r="A193" s="30" t="s">
        <v>113</v>
      </c>
      <c r="B193" s="29"/>
      <c r="C193" s="29">
        <v>0.28918650793650796</v>
      </c>
      <c r="D193" s="29">
        <v>0.12350904193920739</v>
      </c>
      <c r="E193" s="29">
        <v>0.19726027397260273</v>
      </c>
      <c r="F193" s="29">
        <v>0.21910755148741418</v>
      </c>
      <c r="G193" s="29">
        <v>8.7517597372125763E-2</v>
      </c>
      <c r="H193" s="29">
        <v>0.24012944983818771</v>
      </c>
      <c r="I193" s="29">
        <v>-0.1</v>
      </c>
    </row>
    <row r="194" spans="1:9" x14ac:dyDescent="0.25">
      <c r="A194" s="30" t="s">
        <v>114</v>
      </c>
      <c r="B194" s="29"/>
      <c r="C194" s="29">
        <v>0.14054054054054055</v>
      </c>
      <c r="D194" s="29">
        <v>0.12606635071090047</v>
      </c>
      <c r="E194" s="29">
        <v>0.26936026936026936</v>
      </c>
      <c r="F194" s="29">
        <v>0.19893899204244031</v>
      </c>
      <c r="G194" s="29">
        <v>4.8672566371681415E-2</v>
      </c>
      <c r="H194" s="29">
        <v>0.2378691983122363</v>
      </c>
      <c r="I194" s="29">
        <v>-0.21</v>
      </c>
    </row>
    <row r="195" spans="1:9" x14ac:dyDescent="0.25">
      <c r="A195" s="30" t="s">
        <v>115</v>
      </c>
      <c r="B195" s="29"/>
      <c r="C195" s="29">
        <v>3.968253968253968E-2</v>
      </c>
      <c r="D195" s="29">
        <v>-1.5267175572519083E-2</v>
      </c>
      <c r="E195" s="29">
        <v>7.7519379844961239E-3</v>
      </c>
      <c r="F195" s="29">
        <v>6.1538461538461542E-2</v>
      </c>
      <c r="G195" s="29">
        <v>7.2463768115942032E-2</v>
      </c>
      <c r="H195" s="29">
        <v>0.31756756756756754</v>
      </c>
      <c r="I195" s="29">
        <v>-0.06</v>
      </c>
    </row>
    <row r="196" spans="1:9" x14ac:dyDescent="0.25">
      <c r="A196" s="32" t="s">
        <v>106</v>
      </c>
      <c r="B196" s="33"/>
      <c r="C196" s="33">
        <v>4.717880794701987</v>
      </c>
      <c r="D196" s="33">
        <v>9.7289784572619872E-2</v>
      </c>
      <c r="E196" s="33">
        <v>9.0563647878404055E-2</v>
      </c>
      <c r="F196" s="33">
        <v>1.7034456058846303E-2</v>
      </c>
      <c r="G196" s="33">
        <v>-4.3014845831747243E-2</v>
      </c>
      <c r="H196" s="33">
        <v>6.2649164677804292E-2</v>
      </c>
      <c r="I196" s="33">
        <v>0.16</v>
      </c>
    </row>
    <row r="197" spans="1:9" x14ac:dyDescent="0.25">
      <c r="A197" s="30" t="s">
        <v>113</v>
      </c>
      <c r="B197" s="29"/>
      <c r="C197" s="29">
        <v>5.4823008849557526</v>
      </c>
      <c r="D197" s="29">
        <v>0.12116040955631399</v>
      </c>
      <c r="E197" s="29">
        <v>8.8280060882800604E-2</v>
      </c>
      <c r="F197" s="29">
        <v>1.3146853146853148E-2</v>
      </c>
      <c r="G197" s="29">
        <v>-4.7763666482606291E-2</v>
      </c>
      <c r="H197" s="29">
        <v>6.0887213685126125E-2</v>
      </c>
      <c r="I197" s="29">
        <v>0.17</v>
      </c>
    </row>
    <row r="198" spans="1:9" x14ac:dyDescent="0.25">
      <c r="A198" s="30" t="s">
        <v>114</v>
      </c>
      <c r="B198" s="29"/>
      <c r="C198" s="29">
        <v>3.8565217391304349</v>
      </c>
      <c r="D198" s="29">
        <v>6.087735004476276E-2</v>
      </c>
      <c r="E198" s="29">
        <v>0.13670886075949368</v>
      </c>
      <c r="F198" s="29">
        <v>3.5634743875278395E-2</v>
      </c>
      <c r="G198" s="29">
        <v>-2.1505376344086023E-2</v>
      </c>
      <c r="H198" s="29">
        <v>9.4505494505494503E-2</v>
      </c>
      <c r="I198" s="29">
        <v>0.12</v>
      </c>
    </row>
    <row r="199" spans="1:9" x14ac:dyDescent="0.25">
      <c r="A199" s="30" t="s">
        <v>115</v>
      </c>
      <c r="B199" s="29"/>
      <c r="C199" s="29">
        <v>2.6986301369863015</v>
      </c>
      <c r="D199" s="29">
        <v>-1.1111111111111112E-2</v>
      </c>
      <c r="E199" s="29">
        <v>-8.6142322097378279E-2</v>
      </c>
      <c r="F199" s="29">
        <v>-2.8688524590163935E-2</v>
      </c>
      <c r="G199" s="29">
        <v>-9.7046413502109699E-2</v>
      </c>
      <c r="H199" s="29">
        <v>-0.11214953271028037</v>
      </c>
      <c r="I199" s="29">
        <v>0.28000000000000003</v>
      </c>
    </row>
    <row r="200" spans="1:9" x14ac:dyDescent="0.25">
      <c r="A200" s="32" t="s">
        <v>107</v>
      </c>
      <c r="B200" s="33"/>
      <c r="C200" s="33">
        <v>-0.36521739130434783</v>
      </c>
      <c r="D200" s="33">
        <v>0</v>
      </c>
      <c r="E200" s="33">
        <v>0.20547945205479451</v>
      </c>
      <c r="F200" s="33">
        <v>-0.52272727272727271</v>
      </c>
      <c r="G200" s="33">
        <v>-0.2857142857142857</v>
      </c>
      <c r="H200" s="33">
        <v>-0.16666666666666666</v>
      </c>
      <c r="I200" s="33">
        <v>3.02</v>
      </c>
    </row>
    <row r="201" spans="1:9" x14ac:dyDescent="0.25">
      <c r="A201" s="34" t="s">
        <v>103</v>
      </c>
      <c r="B201" s="36"/>
      <c r="C201" s="36">
        <v>6.2924636772237905E-2</v>
      </c>
      <c r="D201" s="36">
        <v>5.6577179008096501E-2</v>
      </c>
      <c r="E201" s="36">
        <v>6.9866286104303038E-2</v>
      </c>
      <c r="F201" s="36">
        <v>7.9251848629839056E-2</v>
      </c>
      <c r="G201" s="36">
        <v>-4.4333387070772209E-2</v>
      </c>
      <c r="H201" s="36">
        <v>0.18907444894286998</v>
      </c>
      <c r="I201" s="36">
        <v>0.06</v>
      </c>
    </row>
    <row r="202" spans="1:9" x14ac:dyDescent="0.25">
      <c r="A202" s="32" t="s">
        <v>104</v>
      </c>
      <c r="B202" s="33"/>
      <c r="C202" s="33">
        <v>-1.3622603430877902E-2</v>
      </c>
      <c r="D202" s="33">
        <v>4.4501278772378514E-2</v>
      </c>
      <c r="E202" s="33">
        <v>-7.6395690499510283E-2</v>
      </c>
      <c r="F202" s="33">
        <v>1.0604453870625663E-2</v>
      </c>
      <c r="G202" s="33">
        <v>-3.1479538300104928E-2</v>
      </c>
      <c r="H202" s="33">
        <v>0.19447453954496208</v>
      </c>
      <c r="I202" s="33">
        <v>7.0000000000000007E-2</v>
      </c>
    </row>
    <row r="203" spans="1:9" x14ac:dyDescent="0.25">
      <c r="A203" s="30" t="s">
        <v>113</v>
      </c>
      <c r="B203" s="29"/>
      <c r="C203" s="29">
        <v>8.4779997816355493E-2</v>
      </c>
      <c r="D203" s="29">
        <v>6.0892758290976803E-2</v>
      </c>
      <c r="E203" s="29">
        <v>5.6306626820359564E-2</v>
      </c>
      <c r="F203" s="29">
        <v>8.7749236572660316E-2</v>
      </c>
      <c r="G203" s="29">
        <v>-3.7858145487573283E-2</v>
      </c>
      <c r="H203" s="29">
        <v>-0.91478223557176574</v>
      </c>
      <c r="I203" s="29">
        <v>0.06</v>
      </c>
    </row>
    <row r="204" spans="1:9" x14ac:dyDescent="0.25">
      <c r="A204" s="30" t="s">
        <v>114</v>
      </c>
      <c r="B204" s="29"/>
      <c r="C204" s="29">
        <v>4.978580525645479E-2</v>
      </c>
      <c r="D204" s="29">
        <v>6.4740266901952129E-2</v>
      </c>
      <c r="E204" s="29">
        <v>0.11176714315309716</v>
      </c>
      <c r="F204" s="29">
        <v>7.6120376409205256E-2</v>
      </c>
      <c r="G204" s="29">
        <v>-5.1688311688311686E-2</v>
      </c>
      <c r="H204" s="29">
        <v>-0.99050488450652785</v>
      </c>
      <c r="I204" s="29">
        <v>-0.03</v>
      </c>
    </row>
    <row r="205" spans="1:9" x14ac:dyDescent="0.25">
      <c r="A205" s="30" t="s">
        <v>115</v>
      </c>
      <c r="B205" s="29"/>
      <c r="C205" s="29">
        <v>-0.16331096196868009</v>
      </c>
      <c r="D205" s="29">
        <v>-4.7459893048128345E-2</v>
      </c>
      <c r="E205" s="29">
        <v>-2.0350877192982456E-2</v>
      </c>
      <c r="F205" s="29">
        <v>5.7306590257879654E-3</v>
      </c>
      <c r="G205" s="29">
        <v>-8.8319088319088315E-2</v>
      </c>
      <c r="H205" s="29">
        <v>-0.97734374999999996</v>
      </c>
      <c r="I205" s="29">
        <v>-0.16</v>
      </c>
    </row>
    <row r="206" spans="1:9" x14ac:dyDescent="0.25">
      <c r="A206" s="30" t="s">
        <v>121</v>
      </c>
      <c r="B206" s="29"/>
      <c r="C206" s="29">
        <v>1.4E-2</v>
      </c>
      <c r="D206" s="29">
        <v>4.4999999999999998E-2</v>
      </c>
      <c r="E206" s="29">
        <v>-0.95</v>
      </c>
      <c r="F206" s="29">
        <v>2.9126213592233011E-2</v>
      </c>
      <c r="G206" s="29">
        <v>-0.15094339622641509</v>
      </c>
      <c r="H206" s="29">
        <v>-4.4444444444444446E-2</v>
      </c>
      <c r="I206" s="29">
        <v>0.42</v>
      </c>
    </row>
    <row r="207" spans="1:9" x14ac:dyDescent="0.25">
      <c r="A207" s="28" t="s">
        <v>108</v>
      </c>
      <c r="B207" s="29"/>
      <c r="C207" s="29">
        <v>4.878048780487805E-2</v>
      </c>
      <c r="D207" s="29">
        <v>-1.8720930232558139</v>
      </c>
      <c r="E207" s="29">
        <v>-0.65333333333333332</v>
      </c>
      <c r="F207" s="29">
        <v>-1.2692307692307692</v>
      </c>
      <c r="G207" s="29">
        <v>-0.5714285714285714</v>
      </c>
      <c r="H207" s="29">
        <v>-4.6363636363636367</v>
      </c>
      <c r="I207" s="29">
        <v>0</v>
      </c>
    </row>
    <row r="208" spans="1:9" ht="15.75" thickBot="1" x14ac:dyDescent="0.3">
      <c r="A208" s="31" t="s">
        <v>105</v>
      </c>
      <c r="B208" s="35"/>
      <c r="C208" s="35">
        <v>5.8004640371229696E-2</v>
      </c>
      <c r="D208" s="35">
        <v>6.0971089696071165E-2</v>
      </c>
      <c r="E208" s="35">
        <v>5.9592430858806403E-2</v>
      </c>
      <c r="F208" s="35">
        <v>7.4731433909388134E-2</v>
      </c>
      <c r="G208" s="35">
        <v>-4.3817266150267146E-2</v>
      </c>
      <c r="H208" s="35">
        <v>0.1907600994572628</v>
      </c>
      <c r="I208" s="35">
        <v>0.06</v>
      </c>
    </row>
    <row r="20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36"/>
  <sheetViews>
    <sheetView workbookViewId="0">
      <selection activeCell="B3" sqref="B3:I3"/>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s="1" customFormat="1" x14ac:dyDescent="0.25">
      <c r="A3" s="39" t="s">
        <v>139</v>
      </c>
      <c r="B3" s="9">
        <f>B21+B52+B83+B114+B145+B176+B207</f>
        <v>30601</v>
      </c>
      <c r="C3" s="9">
        <f t="shared" ref="C3:M3" si="2">C21+C52+C83+C114+C145+C176+C207</f>
        <v>32376</v>
      </c>
      <c r="D3" s="9">
        <f t="shared" si="2"/>
        <v>34350</v>
      </c>
      <c r="E3" s="9">
        <f t="shared" si="2"/>
        <v>36397</v>
      </c>
      <c r="F3" s="9">
        <f t="shared" si="2"/>
        <v>39117</v>
      </c>
      <c r="G3" s="9">
        <f t="shared" si="2"/>
        <v>37403</v>
      </c>
      <c r="H3" s="9">
        <f t="shared" si="2"/>
        <v>44538</v>
      </c>
      <c r="I3" s="9">
        <f t="shared" si="2"/>
        <v>46710</v>
      </c>
      <c r="J3" s="9">
        <f>J21+J52+J83+J114+J145+J176+J207</f>
        <v>46710</v>
      </c>
      <c r="K3" s="9">
        <f t="shared" si="2"/>
        <v>46710</v>
      </c>
      <c r="L3" s="9">
        <f t="shared" si="2"/>
        <v>46710</v>
      </c>
      <c r="M3" s="9">
        <f t="shared" si="2"/>
        <v>46710</v>
      </c>
      <c r="N3" s="9">
        <f>N21+N52+N83+N114+N145+N176+N207</f>
        <v>46710</v>
      </c>
      <c r="O3" s="1"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v>4.9000000000000002E-2</v>
      </c>
      <c r="K4" s="45">
        <f>J4</f>
        <v>4.9000000000000002E-2</v>
      </c>
      <c r="L4" s="45">
        <f t="shared" ref="L4:N4" si="4">K4</f>
        <v>4.9000000000000002E-2</v>
      </c>
      <c r="M4" s="45">
        <f>L4</f>
        <v>4.9000000000000002E-2</v>
      </c>
      <c r="N4" s="45">
        <f t="shared" si="4"/>
        <v>4.9000000000000002E-2</v>
      </c>
    </row>
    <row r="5" spans="1:15" s="1" customFormat="1" x14ac:dyDescent="0.25">
      <c r="A5" s="39" t="s">
        <v>130</v>
      </c>
      <c r="B5" s="1">
        <f>B35+B66+B97+B128+B159+B190+B221</f>
        <v>4839</v>
      </c>
      <c r="C5" s="1">
        <f t="shared" ref="C5:I5" si="5">C35+C66+C97+C128+C159+C190+C221</f>
        <v>5291</v>
      </c>
      <c r="D5" s="1">
        <f t="shared" si="5"/>
        <v>5651</v>
      </c>
      <c r="E5" s="1">
        <f t="shared" si="5"/>
        <v>5126</v>
      </c>
      <c r="F5" s="1">
        <f t="shared" si="5"/>
        <v>5555</v>
      </c>
      <c r="G5" s="1">
        <f t="shared" si="5"/>
        <v>3697</v>
      </c>
      <c r="H5" s="1">
        <f t="shared" si="5"/>
        <v>7667</v>
      </c>
      <c r="I5" s="1">
        <f t="shared" si="5"/>
        <v>7573</v>
      </c>
      <c r="J5" s="1">
        <f>J35+J66+J97+J128+J159+J190+J221</f>
        <v>7573</v>
      </c>
      <c r="K5" s="1">
        <f t="shared" ref="K5:N5" si="6">K35+K66+K97+K128+K159+K190+K221</f>
        <v>7573</v>
      </c>
      <c r="L5" s="1">
        <f t="shared" si="6"/>
        <v>7573</v>
      </c>
      <c r="M5" s="1">
        <f t="shared" si="6"/>
        <v>7573</v>
      </c>
      <c r="N5" s="1">
        <f t="shared" si="6"/>
        <v>7573</v>
      </c>
      <c r="O5" s="1" t="s">
        <v>143</v>
      </c>
    </row>
    <row r="6" spans="1:15" x14ac:dyDescent="0.25">
      <c r="A6" s="40" t="s">
        <v>129</v>
      </c>
      <c r="B6" s="45" t="str">
        <f t="shared" ref="B6:H6" si="7">+IFERROR(B5/A5-1,"nm")</f>
        <v>nm</v>
      </c>
      <c r="C6" s="45">
        <f t="shared" si="7"/>
        <v>9.3407728869601137E-2</v>
      </c>
      <c r="D6" s="45">
        <f t="shared" si="7"/>
        <v>6.8040068040068125E-2</v>
      </c>
      <c r="E6" s="45">
        <f t="shared" si="7"/>
        <v>-9.2903910812245583E-2</v>
      </c>
      <c r="F6" s="45">
        <f t="shared" si="7"/>
        <v>8.3690987124463545E-2</v>
      </c>
      <c r="G6" s="45">
        <f t="shared" si="7"/>
        <v>-0.3344734473447345</v>
      </c>
      <c r="H6" s="45">
        <f t="shared" si="7"/>
        <v>1.0738436570192049</v>
      </c>
      <c r="I6" s="45">
        <f>+IFERROR(I5/H5-1,"nm")</f>
        <v>-1.2260336507108338E-2</v>
      </c>
      <c r="J6" s="45">
        <f>J4</f>
        <v>4.9000000000000002E-2</v>
      </c>
      <c r="K6" s="45">
        <f>J6</f>
        <v>4.9000000000000002E-2</v>
      </c>
      <c r="L6" s="45">
        <f t="shared" ref="L6:N6" si="8">K6</f>
        <v>4.9000000000000002E-2</v>
      </c>
      <c r="M6" s="45">
        <f t="shared" si="8"/>
        <v>4.9000000000000002E-2</v>
      </c>
      <c r="N6" s="45">
        <f t="shared" si="8"/>
        <v>4.9000000000000002E-2</v>
      </c>
    </row>
    <row r="7" spans="1:15" x14ac:dyDescent="0.25">
      <c r="A7" s="40" t="s">
        <v>131</v>
      </c>
      <c r="B7" s="45">
        <f>+IFERROR(B5/B$3,"nm")</f>
        <v>0.15813208718669325</v>
      </c>
      <c r="C7" s="45">
        <f t="shared" ref="C7:I7" si="9">+IFERROR(C5/C$3,"nm")</f>
        <v>0.16342352359772672</v>
      </c>
      <c r="D7" s="45">
        <f t="shared" si="9"/>
        <v>0.16451237263464338</v>
      </c>
      <c r="E7" s="45">
        <f t="shared" si="9"/>
        <v>0.14083578316894249</v>
      </c>
      <c r="F7" s="45">
        <f t="shared" si="9"/>
        <v>0.14200986783240024</v>
      </c>
      <c r="G7" s="45">
        <f t="shared" si="9"/>
        <v>9.8842338849824879E-2</v>
      </c>
      <c r="H7" s="45">
        <f t="shared" si="9"/>
        <v>0.17214513449189456</v>
      </c>
      <c r="I7" s="45">
        <f t="shared" si="9"/>
        <v>0.16212802397773496</v>
      </c>
      <c r="J7" s="45">
        <f>+IFERROR(J5/J$3,"nm")</f>
        <v>0.16212802397773496</v>
      </c>
      <c r="K7" s="45">
        <f>+IFERROR(K5/K$3,"nm")</f>
        <v>0.16212802397773496</v>
      </c>
      <c r="L7" s="45">
        <f>+IFERROR(L5/L$3,"nm")</f>
        <v>0.16212802397773496</v>
      </c>
      <c r="M7" s="45">
        <f>+IFERROR(M5/M$3,"nm")</f>
        <v>0.16212802397773496</v>
      </c>
      <c r="N7" s="45">
        <f>+IFERROR(N5/N$3,"nm")</f>
        <v>0.16212802397773496</v>
      </c>
    </row>
    <row r="8" spans="1:15" s="1" customFormat="1" x14ac:dyDescent="0.25">
      <c r="A8" s="39" t="s">
        <v>132</v>
      </c>
      <c r="B8" s="1">
        <f>B38+B69+B100+B131+B162+B193+B224</f>
        <v>606</v>
      </c>
      <c r="C8" s="1">
        <f t="shared" ref="C8:I8" si="10">C38+C69+C100+C131+C162+C193+C224</f>
        <v>649</v>
      </c>
      <c r="D8" s="1">
        <f t="shared" si="10"/>
        <v>706</v>
      </c>
      <c r="E8" s="1">
        <f t="shared" si="10"/>
        <v>747</v>
      </c>
      <c r="F8" s="1">
        <f t="shared" si="10"/>
        <v>705</v>
      </c>
      <c r="G8" s="1">
        <f t="shared" si="10"/>
        <v>721</v>
      </c>
      <c r="H8" s="1">
        <f t="shared" si="10"/>
        <v>744</v>
      </c>
      <c r="I8" s="1">
        <f t="shared" si="10"/>
        <v>717</v>
      </c>
      <c r="J8" s="1">
        <f>J38+J69+J100+J131+J162+J193+J224</f>
        <v>717</v>
      </c>
      <c r="K8" s="1">
        <f t="shared" ref="K8:N8" si="11">K38+K69+K100+K131+K162+K193+K224</f>
        <v>717</v>
      </c>
      <c r="L8" s="1">
        <f t="shared" si="11"/>
        <v>717</v>
      </c>
      <c r="M8" s="1">
        <f t="shared" si="11"/>
        <v>717</v>
      </c>
      <c r="N8" s="1">
        <f t="shared" si="11"/>
        <v>717</v>
      </c>
      <c r="O8" s="1" t="s">
        <v>144</v>
      </c>
    </row>
    <row r="9" spans="1:15" x14ac:dyDescent="0.25">
      <c r="A9" s="40" t="s">
        <v>129</v>
      </c>
      <c r="B9" s="45" t="str">
        <f t="shared" ref="B9:H9" si="12">+IFERROR(B8/A8-1,"nm")</f>
        <v>nm</v>
      </c>
      <c r="C9" s="45">
        <f t="shared" si="12"/>
        <v>7.0957095709570872E-2</v>
      </c>
      <c r="D9" s="45">
        <f t="shared" si="12"/>
        <v>8.7827426810477727E-2</v>
      </c>
      <c r="E9" s="45">
        <f t="shared" si="12"/>
        <v>5.8073654390934815E-2</v>
      </c>
      <c r="F9" s="45">
        <f t="shared" si="12"/>
        <v>-5.6224899598393607E-2</v>
      </c>
      <c r="G9" s="45">
        <f t="shared" si="12"/>
        <v>2.2695035460992941E-2</v>
      </c>
      <c r="H9" s="45">
        <f t="shared" si="12"/>
        <v>3.1900138696255187E-2</v>
      </c>
      <c r="I9" s="45">
        <f>+IFERROR(I8/H8-1,"nm")</f>
        <v>-3.6290322580645129E-2</v>
      </c>
      <c r="J9" s="45">
        <f>+IFERROR(J8/I8-1,"nm")</f>
        <v>0</v>
      </c>
      <c r="K9" s="45">
        <f t="shared" ref="K9:N9" si="13">+IFERROR(K8/J8-1,"nm")</f>
        <v>0</v>
      </c>
      <c r="L9" s="45">
        <f t="shared" si="13"/>
        <v>0</v>
      </c>
      <c r="M9" s="45">
        <f t="shared" si="13"/>
        <v>0</v>
      </c>
      <c r="N9" s="45">
        <f t="shared" si="13"/>
        <v>0</v>
      </c>
    </row>
    <row r="10" spans="1:15" x14ac:dyDescent="0.25">
      <c r="A10" s="40" t="s">
        <v>133</v>
      </c>
      <c r="B10" s="45">
        <f>+IFERROR(B8/B$3,"nm")</f>
        <v>1.9803274402797295E-2</v>
      </c>
      <c r="C10" s="45">
        <f t="shared" ref="C10:I10" si="14">+IFERROR(C8/C$3,"nm")</f>
        <v>2.0045712873733631E-2</v>
      </c>
      <c r="D10" s="45">
        <f t="shared" si="14"/>
        <v>2.0553129548762736E-2</v>
      </c>
      <c r="E10" s="45">
        <f t="shared" si="14"/>
        <v>2.0523669533203285E-2</v>
      </c>
      <c r="F10" s="45">
        <f t="shared" si="14"/>
        <v>1.8022854513382928E-2</v>
      </c>
      <c r="G10" s="45">
        <f t="shared" si="14"/>
        <v>1.9276528620698875E-2</v>
      </c>
      <c r="H10" s="45">
        <f t="shared" si="14"/>
        <v>1.6704836319547355E-2</v>
      </c>
      <c r="I10" s="45">
        <f t="shared" si="14"/>
        <v>1.5350032113037893E-2</v>
      </c>
      <c r="J10" s="45">
        <f>+IFERROR(J8/J$3,"nm")</f>
        <v>1.5350032113037893E-2</v>
      </c>
      <c r="K10" s="45">
        <f>+IFERROR(K8/K$3,"nm")</f>
        <v>1.5350032113037893E-2</v>
      </c>
      <c r="L10" s="45">
        <f>+IFERROR(L8/L$3,"nm")</f>
        <v>1.5350032113037893E-2</v>
      </c>
      <c r="M10" s="45">
        <f>+IFERROR(M8/M$3,"nm")</f>
        <v>1.5350032113037893E-2</v>
      </c>
      <c r="N10" s="45">
        <f>+IFERROR(N8/N$3,"nm")</f>
        <v>1.5350032113037893E-2</v>
      </c>
    </row>
    <row r="11" spans="1:15" s="1" customFormat="1" x14ac:dyDescent="0.25">
      <c r="A11" s="39" t="s">
        <v>134</v>
      </c>
      <c r="B11" s="1">
        <f>B42+B73+B104+B135+B166+B197+B228</f>
        <v>4233</v>
      </c>
      <c r="C11" s="1">
        <f t="shared" ref="C11:I11" si="15">C42+C73+C104+C135+C166+C197+C228</f>
        <v>4642</v>
      </c>
      <c r="D11" s="1">
        <f t="shared" si="15"/>
        <v>4945</v>
      </c>
      <c r="E11" s="1">
        <f t="shared" si="15"/>
        <v>4379</v>
      </c>
      <c r="F11" s="1">
        <f t="shared" si="15"/>
        <v>4850</v>
      </c>
      <c r="G11" s="1">
        <f t="shared" si="15"/>
        <v>2976</v>
      </c>
      <c r="H11" s="1">
        <f t="shared" si="15"/>
        <v>6923</v>
      </c>
      <c r="I11" s="1">
        <f t="shared" si="15"/>
        <v>6856</v>
      </c>
      <c r="J11" s="1">
        <f>J5-J8</f>
        <v>6856</v>
      </c>
      <c r="K11" s="1">
        <f t="shared" ref="K11:N11" si="16">K5-K8</f>
        <v>6856</v>
      </c>
      <c r="L11" s="1">
        <f t="shared" si="16"/>
        <v>6856</v>
      </c>
      <c r="M11" s="1">
        <f t="shared" si="16"/>
        <v>6856</v>
      </c>
      <c r="N11" s="1">
        <f t="shared" si="16"/>
        <v>6856</v>
      </c>
      <c r="O11" s="1" t="s">
        <v>145</v>
      </c>
    </row>
    <row r="12" spans="1:15" x14ac:dyDescent="0.25">
      <c r="A12" s="40" t="s">
        <v>129</v>
      </c>
      <c r="B12" s="45" t="str">
        <f t="shared" ref="B12:H12" si="17">+IFERROR(B11/A11-1,"nm")</f>
        <v>nm</v>
      </c>
      <c r="C12" s="45">
        <f t="shared" si="17"/>
        <v>9.6621781242617555E-2</v>
      </c>
      <c r="D12" s="45">
        <f t="shared" si="17"/>
        <v>6.5273588970271357E-2</v>
      </c>
      <c r="E12" s="45">
        <f t="shared" si="17"/>
        <v>-0.11445904954499497</v>
      </c>
      <c r="F12" s="45">
        <f t="shared" si="17"/>
        <v>0.10755880337976698</v>
      </c>
      <c r="G12" s="45">
        <f t="shared" si="17"/>
        <v>-0.38639175257731961</v>
      </c>
      <c r="H12" s="45">
        <f t="shared" si="17"/>
        <v>1.32627688172043</v>
      </c>
      <c r="I12" s="45">
        <f>+IFERROR(I11/H11-1,"nm")</f>
        <v>-9.67788530983682E-3</v>
      </c>
      <c r="J12" s="45">
        <f t="shared" ref="J12:N12" si="18">+IFERROR(J11/I11-1,"nm")</f>
        <v>0</v>
      </c>
      <c r="K12" s="45">
        <f t="shared" si="18"/>
        <v>0</v>
      </c>
      <c r="L12" s="45">
        <f t="shared" si="18"/>
        <v>0</v>
      </c>
      <c r="M12" s="45">
        <f t="shared" si="18"/>
        <v>0</v>
      </c>
      <c r="N12" s="45">
        <f t="shared" si="18"/>
        <v>0</v>
      </c>
    </row>
    <row r="13" spans="1:15" x14ac:dyDescent="0.25">
      <c r="A13" s="40" t="s">
        <v>131</v>
      </c>
      <c r="B13" s="45">
        <f>+IFERROR(B11/B$3,"nm")</f>
        <v>0.13832881278389594</v>
      </c>
      <c r="C13" s="45">
        <f t="shared" ref="C13:I13" si="19">+IFERROR(C11/C$3,"nm")</f>
        <v>0.14337781072399308</v>
      </c>
      <c r="D13" s="45">
        <f t="shared" si="19"/>
        <v>0.14395924308588065</v>
      </c>
      <c r="E13" s="45">
        <f t="shared" si="19"/>
        <v>0.12031211363573921</v>
      </c>
      <c r="F13" s="45">
        <f t="shared" si="19"/>
        <v>0.12398701331901731</v>
      </c>
      <c r="G13" s="45">
        <f t="shared" si="19"/>
        <v>7.9565810229126011E-2</v>
      </c>
      <c r="H13" s="45">
        <f t="shared" si="19"/>
        <v>0.1554402981723472</v>
      </c>
      <c r="I13" s="45">
        <f t="shared" si="19"/>
        <v>0.14677799186469706</v>
      </c>
      <c r="J13" s="45">
        <f>+IFERROR(J11/J$3,"nm")</f>
        <v>0.14677799186469706</v>
      </c>
      <c r="K13" s="45">
        <f>+IFERROR(K11/K$3,"nm")</f>
        <v>0.14677799186469706</v>
      </c>
      <c r="L13" s="45">
        <f>+IFERROR(L11/L$3,"nm")</f>
        <v>0.14677799186469706</v>
      </c>
      <c r="M13" s="45">
        <f>+IFERROR(M11/M$3,"nm")</f>
        <v>0.14677799186469706</v>
      </c>
      <c r="N13" s="45">
        <f>+IFERROR(N11/N$3,"nm")</f>
        <v>0.14677799186469706</v>
      </c>
    </row>
    <row r="14" spans="1:15" s="1" customFormat="1" x14ac:dyDescent="0.25">
      <c r="A14" s="39" t="s">
        <v>135</v>
      </c>
      <c r="B14" s="1">
        <f>B45+B76+B107+B138+B169+B200+B231</f>
        <v>487</v>
      </c>
      <c r="C14" s="1">
        <f t="shared" ref="C14:N14" si="20">C45+C76+C107+C138+C169+C200+C231</f>
        <v>622</v>
      </c>
      <c r="D14" s="1">
        <f t="shared" si="20"/>
        <v>1105</v>
      </c>
      <c r="E14" s="1">
        <f t="shared" si="20"/>
        <v>1028</v>
      </c>
      <c r="F14" s="1">
        <f t="shared" si="20"/>
        <v>1119</v>
      </c>
      <c r="G14" s="1">
        <f t="shared" si="20"/>
        <v>1086</v>
      </c>
      <c r="H14" s="1">
        <f t="shared" si="20"/>
        <v>695</v>
      </c>
      <c r="I14" s="1">
        <f t="shared" si="20"/>
        <v>758</v>
      </c>
      <c r="J14" s="1">
        <f t="shared" si="20"/>
        <v>758</v>
      </c>
      <c r="K14" s="1">
        <f t="shared" si="20"/>
        <v>758</v>
      </c>
      <c r="L14" s="1">
        <f t="shared" si="20"/>
        <v>758</v>
      </c>
      <c r="M14" s="1">
        <f t="shared" si="20"/>
        <v>758</v>
      </c>
      <c r="N14" s="1">
        <f t="shared" si="20"/>
        <v>758</v>
      </c>
      <c r="O14" s="1" t="s">
        <v>146</v>
      </c>
    </row>
    <row r="15" spans="1:15" x14ac:dyDescent="0.25">
      <c r="A15" s="40" t="s">
        <v>129</v>
      </c>
      <c r="B15" s="45" t="str">
        <f t="shared" ref="B15:H15" si="21">+IFERROR(B14/A14-1,"nm")</f>
        <v>nm</v>
      </c>
      <c r="C15" s="45">
        <f t="shared" si="21"/>
        <v>0.2772073921971252</v>
      </c>
      <c r="D15" s="45">
        <f t="shared" si="21"/>
        <v>0.77652733118971051</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0</v>
      </c>
      <c r="K15" s="45">
        <f t="shared" si="22"/>
        <v>0</v>
      </c>
      <c r="L15" s="45">
        <f t="shared" si="22"/>
        <v>0</v>
      </c>
      <c r="M15" s="45">
        <f t="shared" si="22"/>
        <v>0</v>
      </c>
      <c r="N15" s="45">
        <f t="shared" si="22"/>
        <v>0</v>
      </c>
    </row>
    <row r="16" spans="1:15" x14ac:dyDescent="0.25">
      <c r="A16" s="40" t="s">
        <v>133</v>
      </c>
      <c r="B16" s="45">
        <f>+IFERROR(B14/B$3,"nm")</f>
        <v>1.591451259762753E-2</v>
      </c>
      <c r="C16" s="45">
        <f t="shared" ref="C16:I16" si="23">+IFERROR(C14/C$3,"nm")</f>
        <v>1.9211761798863355E-2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+IFERROR(J14/J$3,"nm")</f>
        <v>1.6227788482123744E-2</v>
      </c>
      <c r="K16" s="45">
        <f>+IFERROR(K14/K$3,"nm")</f>
        <v>1.6227788482123744E-2</v>
      </c>
      <c r="L16" s="45">
        <f>+IFERROR(L14/L$3,"nm")</f>
        <v>1.6227788482123744E-2</v>
      </c>
      <c r="M16" s="45">
        <f>+IFERROR(M14/M$3,"nm")</f>
        <v>1.6227788482123744E-2</v>
      </c>
      <c r="N16" s="45">
        <f>+IFERROR(N14/N$3,"nm")</f>
        <v>1.6227788482123744E-2</v>
      </c>
    </row>
    <row r="17" spans="1:15" s="1" customFormat="1" x14ac:dyDescent="0.25">
      <c r="A17" s="9" t="s">
        <v>141</v>
      </c>
      <c r="B17" s="1">
        <f>B48+B79+B110+B141+B172+B203+B234</f>
        <v>3011</v>
      </c>
      <c r="C17" s="1">
        <f t="shared" ref="C17:N17" si="24">C48+C79+C110+C141+C172+C203+C234</f>
        <v>3520</v>
      </c>
      <c r="D17" s="1">
        <f t="shared" si="24"/>
        <v>3989</v>
      </c>
      <c r="E17" s="1">
        <f t="shared" si="24"/>
        <v>4454</v>
      </c>
      <c r="F17" s="1">
        <f t="shared" si="24"/>
        <v>4744</v>
      </c>
      <c r="G17" s="1">
        <f t="shared" si="24"/>
        <v>4866</v>
      </c>
      <c r="H17" s="1">
        <f t="shared" si="24"/>
        <v>4904</v>
      </c>
      <c r="I17" s="1">
        <f t="shared" si="24"/>
        <v>4791</v>
      </c>
      <c r="J17" s="1">
        <f t="shared" si="24"/>
        <v>4791</v>
      </c>
      <c r="K17" s="1">
        <f t="shared" si="24"/>
        <v>4791</v>
      </c>
      <c r="L17" s="1">
        <f t="shared" si="24"/>
        <v>4791</v>
      </c>
      <c r="M17" s="1">
        <f t="shared" si="24"/>
        <v>4791</v>
      </c>
      <c r="N17" s="1">
        <f t="shared" si="24"/>
        <v>4791</v>
      </c>
      <c r="O17" s="1" t="s">
        <v>147</v>
      </c>
    </row>
    <row r="18" spans="1:15" x14ac:dyDescent="0.25">
      <c r="A18" s="40" t="s">
        <v>129</v>
      </c>
      <c r="B18" s="45" t="str">
        <f t="shared" ref="B18:H18" si="25">+IFERROR(B17/A17-1,"nm")</f>
        <v>nm</v>
      </c>
      <c r="C18" s="45">
        <f t="shared" si="25"/>
        <v>0.16904682829624718</v>
      </c>
      <c r="D18" s="45">
        <f t="shared" si="25"/>
        <v>0.13323863636363642</v>
      </c>
      <c r="E18" s="45">
        <f t="shared" si="25"/>
        <v>0.11657056906492858</v>
      </c>
      <c r="F18" s="45">
        <f t="shared" si="25"/>
        <v>6.5110013471037176E-2</v>
      </c>
      <c r="G18" s="45">
        <f t="shared" si="25"/>
        <v>2.5716694772343951E-2</v>
      </c>
      <c r="H18" s="45">
        <f t="shared" si="25"/>
        <v>7.8092889436909285E-3</v>
      </c>
      <c r="I18" s="45">
        <f>+IFERROR(I17/H17-1,"nm")</f>
        <v>-2.3042414355628038E-2</v>
      </c>
      <c r="J18" s="45">
        <f t="shared" ref="J18:N18" si="26">+IFERROR(J17/I17-1,"nm")</f>
        <v>0</v>
      </c>
      <c r="K18" s="45">
        <f t="shared" si="26"/>
        <v>0</v>
      </c>
      <c r="L18" s="45">
        <f t="shared" si="26"/>
        <v>0</v>
      </c>
      <c r="M18" s="45">
        <f t="shared" si="26"/>
        <v>0</v>
      </c>
      <c r="N18" s="45">
        <f t="shared" si="26"/>
        <v>0</v>
      </c>
    </row>
    <row r="19" spans="1:15" x14ac:dyDescent="0.25">
      <c r="A19" s="40" t="s">
        <v>133</v>
      </c>
      <c r="B19" s="45">
        <f>+IFERROR(B17/B$3,"nm")</f>
        <v>9.8395477271984569E-2</v>
      </c>
      <c r="C19" s="45">
        <f t="shared" ref="C19:I19" si="27">+IFERROR(C17/C$3,"nm")</f>
        <v>0.10872251050160613</v>
      </c>
      <c r="D19" s="45">
        <f t="shared" si="27"/>
        <v>0.11612809315866085</v>
      </c>
      <c r="E19" s="45">
        <f t="shared" si="27"/>
        <v>0.12237272302662307</v>
      </c>
      <c r="F19" s="45">
        <f t="shared" si="27"/>
        <v>0.1212771940588491</v>
      </c>
      <c r="G19" s="45">
        <f t="shared" si="27"/>
        <v>0.13009651632222013</v>
      </c>
      <c r="H19" s="45">
        <f t="shared" si="27"/>
        <v>0.11010822219228523</v>
      </c>
      <c r="I19" s="45">
        <f t="shared" si="27"/>
        <v>0.10256904303147078</v>
      </c>
      <c r="J19" s="45">
        <f>+IFERROR(J17/J$3,"nm")</f>
        <v>0.10256904303147078</v>
      </c>
      <c r="K19" s="45">
        <f>+IFERROR(K17/K$3,"nm")</f>
        <v>0.10256904303147078</v>
      </c>
      <c r="L19" s="45">
        <f>+IFERROR(L17/L$3,"nm")</f>
        <v>0.10256904303147078</v>
      </c>
      <c r="M19" s="45">
        <f>+IFERROR(M17/M$3,"nm")</f>
        <v>0.10256904303147078</v>
      </c>
      <c r="N19" s="45">
        <f>+IFERROR(N17/N$3,"nm")</f>
        <v>0.10256904303147078</v>
      </c>
    </row>
    <row r="20" spans="1:15" x14ac:dyDescent="0.25">
      <c r="A20" s="41" t="str">
        <f>+Historicals!A112</f>
        <v>North America</v>
      </c>
      <c r="B20" s="41"/>
      <c r="C20" s="41"/>
      <c r="D20" s="41"/>
      <c r="E20" s="41"/>
      <c r="F20" s="41"/>
      <c r="G20" s="41"/>
      <c r="H20" s="41"/>
      <c r="I20" s="41"/>
      <c r="J20" s="37"/>
      <c r="K20" s="37"/>
      <c r="L20" s="37"/>
      <c r="M20" s="37"/>
      <c r="N20" s="37"/>
    </row>
    <row r="21" spans="1:15" x14ac:dyDescent="0.25">
      <c r="A21" s="9" t="s">
        <v>136</v>
      </c>
      <c r="B21" s="9">
        <f>+Historicals!B112</f>
        <v>13740</v>
      </c>
      <c r="C21" s="9">
        <f>+Historicals!C112</f>
        <v>14764</v>
      </c>
      <c r="D21" s="9">
        <f>+Historicals!D112</f>
        <v>15216</v>
      </c>
      <c r="E21" s="9">
        <f>+Historicals!E112</f>
        <v>14855</v>
      </c>
      <c r="F21" s="9">
        <f>+Historicals!F112</f>
        <v>15902</v>
      </c>
      <c r="G21" s="9">
        <f>+Historicals!G112</f>
        <v>14484</v>
      </c>
      <c r="H21" s="9">
        <f>+Historicals!H112</f>
        <v>17179</v>
      </c>
      <c r="I21" s="9">
        <f>+Historicals!I112</f>
        <v>18353</v>
      </c>
      <c r="J21" s="9">
        <f>+SUM(J23+J27+J31)</f>
        <v>18353</v>
      </c>
      <c r="K21" s="9">
        <f t="shared" ref="K21:N21" si="28">+SUM(K23+K27+K31)</f>
        <v>18353</v>
      </c>
      <c r="L21" s="9">
        <f t="shared" si="28"/>
        <v>18353</v>
      </c>
      <c r="M21" s="9">
        <f t="shared" si="28"/>
        <v>18353</v>
      </c>
      <c r="N21" s="9">
        <f t="shared" si="28"/>
        <v>18353</v>
      </c>
    </row>
    <row r="22" spans="1:15" x14ac:dyDescent="0.25">
      <c r="A22" s="42" t="s">
        <v>129</v>
      </c>
      <c r="B22" s="45" t="str">
        <f t="shared" ref="B22:H22" si="29">+IFERROR(B21/A21-1,"nm")</f>
        <v>nm</v>
      </c>
      <c r="C22" s="45">
        <f t="shared" si="29"/>
        <v>7.4526928675400228E-2</v>
      </c>
      <c r="D22" s="45">
        <f t="shared" si="29"/>
        <v>3.0615009482525046E-2</v>
      </c>
      <c r="E22" s="45">
        <f t="shared" si="29"/>
        <v>-2.372502628811779E-2</v>
      </c>
      <c r="F22" s="45">
        <f t="shared" si="29"/>
        <v>7.0481319421070276E-2</v>
      </c>
      <c r="G22" s="45">
        <f t="shared" si="29"/>
        <v>-8.9171173437303519E-2</v>
      </c>
      <c r="H22" s="45">
        <f t="shared" si="29"/>
        <v>0.18606738470035911</v>
      </c>
      <c r="I22" s="45">
        <f>+IFERROR(I21/H21-1,"nm")</f>
        <v>6.8339251411607238E-2</v>
      </c>
      <c r="J22" s="45">
        <f t="shared" ref="J22:N22" si="30">+IFERROR(J21/I21-1,"nm")</f>
        <v>0</v>
      </c>
      <c r="K22" s="45">
        <f t="shared" si="30"/>
        <v>0</v>
      </c>
      <c r="L22" s="45">
        <f t="shared" si="30"/>
        <v>0</v>
      </c>
      <c r="M22" s="45">
        <f t="shared" si="30"/>
        <v>0</v>
      </c>
      <c r="N22" s="45">
        <f t="shared" si="30"/>
        <v>0</v>
      </c>
    </row>
    <row r="23" spans="1:15" x14ac:dyDescent="0.25">
      <c r="A23" s="43" t="s">
        <v>113</v>
      </c>
      <c r="B23" s="3">
        <f>+Historicals!B113</f>
        <v>8506</v>
      </c>
      <c r="C23" s="3">
        <f>+Historicals!C113</f>
        <v>9299</v>
      </c>
      <c r="D23" s="3">
        <f>+Historicals!D113</f>
        <v>9684</v>
      </c>
      <c r="E23" s="3">
        <f>+Historicals!E113</f>
        <v>9322</v>
      </c>
      <c r="F23" s="3">
        <f>+Historicals!F113</f>
        <v>10045</v>
      </c>
      <c r="G23" s="3">
        <f>+Historicals!G113</f>
        <v>9329</v>
      </c>
      <c r="H23" s="3">
        <f>+Historicals!H113</f>
        <v>11644</v>
      </c>
      <c r="I23" s="3">
        <f>+Historicals!I113</f>
        <v>12228</v>
      </c>
      <c r="J23" s="3">
        <f>+I23*(1+J24)</f>
        <v>12228</v>
      </c>
      <c r="K23" s="3">
        <f t="shared" ref="K23:N23" si="31">+J23*(1+K24)</f>
        <v>12228</v>
      </c>
      <c r="L23" s="3">
        <f t="shared" si="31"/>
        <v>12228</v>
      </c>
      <c r="M23" s="3">
        <f t="shared" si="31"/>
        <v>12228</v>
      </c>
      <c r="N23" s="3">
        <f t="shared" si="31"/>
        <v>12228</v>
      </c>
    </row>
    <row r="24" spans="1:15" x14ac:dyDescent="0.25">
      <c r="A24" s="42" t="s">
        <v>129</v>
      </c>
      <c r="B24" s="45" t="str">
        <f t="shared" ref="B24" si="32">+IFERROR(B23/A23-1,"nm")</f>
        <v>nm</v>
      </c>
      <c r="C24" s="45">
        <f t="shared" ref="C24" si="33">+IFERROR(C23/B23-1,"nm")</f>
        <v>9.3228309428638578E-2</v>
      </c>
      <c r="D24" s="45">
        <f t="shared" ref="D24" si="34">+IFERROR(D23/C23-1,"nm")</f>
        <v>4.1402301322722934E-2</v>
      </c>
      <c r="E24" s="45">
        <f t="shared" ref="E24" si="35">+IFERROR(E23/D23-1,"nm")</f>
        <v>-3.7381247418422192E-2</v>
      </c>
      <c r="F24" s="45">
        <f t="shared" ref="F24" si="36">+IFERROR(F23/E23-1,"nm")</f>
        <v>7.755846384895948E-2</v>
      </c>
      <c r="G24" s="45">
        <f t="shared" ref="G24" si="37">+IFERROR(G23/F23-1,"nm")</f>
        <v>-7.1279243404678949E-2</v>
      </c>
      <c r="H24" s="45">
        <f t="shared" ref="H24" si="38">+IFERROR(H23/G23-1,"nm")</f>
        <v>0.24815092721620746</v>
      </c>
      <c r="I24" s="45">
        <f>+IFERROR(I23/H23-1,"nm")</f>
        <v>5.0154586052902683E-2</v>
      </c>
      <c r="J24" s="45">
        <f>+J25+J26</f>
        <v>0</v>
      </c>
      <c r="K24" s="45">
        <f t="shared" ref="K24:N24" si="39">+K25+K26</f>
        <v>0</v>
      </c>
      <c r="L24" s="45">
        <f t="shared" si="39"/>
        <v>0</v>
      </c>
      <c r="M24" s="45">
        <f t="shared" si="39"/>
        <v>0</v>
      </c>
      <c r="N24" s="45">
        <f t="shared" si="39"/>
        <v>0</v>
      </c>
    </row>
    <row r="25" spans="1:15" x14ac:dyDescent="0.25">
      <c r="A25" s="42" t="s">
        <v>137</v>
      </c>
      <c r="B25" s="45">
        <f>+Historicals!B185</f>
        <v>0</v>
      </c>
      <c r="C25" s="45">
        <f>+Historicals!C185</f>
        <v>9.3228309428638606E-2</v>
      </c>
      <c r="D25" s="45">
        <f>+Historicals!D185</f>
        <v>4.1402301322722872E-2</v>
      </c>
      <c r="E25" s="45">
        <f>+Historicals!E185</f>
        <v>-3.7381247418422137E-2</v>
      </c>
      <c r="F25" s="45">
        <f>+Historicals!F185</f>
        <v>7.7558463848959452E-2</v>
      </c>
      <c r="G25" s="45">
        <f>+Historicals!G185</f>
        <v>-7.1279243404678949E-2</v>
      </c>
      <c r="H25" s="45">
        <f>+Historicals!H185</f>
        <v>0.24815092721620752</v>
      </c>
      <c r="I25" s="45">
        <f>+Historicals!I185</f>
        <v>0.05</v>
      </c>
      <c r="J25" s="47">
        <v>0</v>
      </c>
      <c r="K25" s="47">
        <f t="shared" ref="K25:N26" si="40">+J25</f>
        <v>0</v>
      </c>
      <c r="L25" s="47">
        <f t="shared" si="40"/>
        <v>0</v>
      </c>
      <c r="M25" s="47">
        <f t="shared" si="40"/>
        <v>0</v>
      </c>
      <c r="N25" s="47">
        <f t="shared" si="40"/>
        <v>0</v>
      </c>
    </row>
    <row r="26" spans="1:15" x14ac:dyDescent="0.25">
      <c r="A26" s="42" t="s">
        <v>138</v>
      </c>
      <c r="B26" s="45" t="str">
        <f t="shared" ref="B26:H26" si="41">+IFERROR(B24-B25,"nm")</f>
        <v>nm</v>
      </c>
      <c r="C26" s="45">
        <f t="shared" si="41"/>
        <v>-2.7755575615628914E-17</v>
      </c>
      <c r="D26" s="45">
        <f t="shared" si="41"/>
        <v>6.2450045135165055E-17</v>
      </c>
      <c r="E26" s="45">
        <f t="shared" si="41"/>
        <v>-5.5511151231257827E-17</v>
      </c>
      <c r="F26" s="45">
        <f t="shared" si="41"/>
        <v>2.7755575615628914E-17</v>
      </c>
      <c r="G26" s="45">
        <f t="shared" si="41"/>
        <v>0</v>
      </c>
      <c r="H26" s="45">
        <f t="shared" si="41"/>
        <v>-5.5511151231257827E-17</v>
      </c>
      <c r="I26" s="45">
        <f>+IFERROR(I24-I25,"nm")</f>
        <v>1.5458605290268046E-4</v>
      </c>
      <c r="J26" s="47">
        <v>0</v>
      </c>
      <c r="K26" s="47">
        <f t="shared" si="40"/>
        <v>0</v>
      </c>
      <c r="L26" s="47">
        <f t="shared" si="40"/>
        <v>0</v>
      </c>
      <c r="M26" s="47">
        <f t="shared" si="40"/>
        <v>0</v>
      </c>
      <c r="N26" s="47">
        <f t="shared" si="40"/>
        <v>0</v>
      </c>
    </row>
    <row r="27" spans="1:15" x14ac:dyDescent="0.25">
      <c r="A27" s="43" t="s">
        <v>114</v>
      </c>
      <c r="B27" s="3">
        <f>+Historicals!B114</f>
        <v>4410</v>
      </c>
      <c r="C27" s="3">
        <f>+Historicals!C114</f>
        <v>4746</v>
      </c>
      <c r="D27" s="3">
        <f>+Historicals!D114</f>
        <v>4886</v>
      </c>
      <c r="E27" s="3">
        <f>+Historicals!E114</f>
        <v>4938</v>
      </c>
      <c r="F27" s="3">
        <f>+Historicals!F114</f>
        <v>5260</v>
      </c>
      <c r="G27" s="3">
        <f>+Historicals!G114</f>
        <v>4639</v>
      </c>
      <c r="H27" s="3">
        <f>+Historicals!H114</f>
        <v>5028</v>
      </c>
      <c r="I27" s="3">
        <f>+Historicals!I114</f>
        <v>5492</v>
      </c>
      <c r="J27" s="3">
        <f>+I27*(1+J28)</f>
        <v>5492</v>
      </c>
      <c r="K27" s="3">
        <f t="shared" ref="K27" si="42">+J27*(1+K28)</f>
        <v>5492</v>
      </c>
      <c r="L27" s="3">
        <f t="shared" ref="L27" si="43">+K27*(1+L28)</f>
        <v>5492</v>
      </c>
      <c r="M27" s="3">
        <f t="shared" ref="M27" si="44">+L27*(1+M28)</f>
        <v>5492</v>
      </c>
      <c r="N27" s="3">
        <f t="shared" ref="N27" si="45">+M27*(1+N28)</f>
        <v>5492</v>
      </c>
    </row>
    <row r="28" spans="1:15" x14ac:dyDescent="0.25">
      <c r="A28" s="42" t="s">
        <v>129</v>
      </c>
      <c r="B28" s="45" t="str">
        <f t="shared" ref="B28" si="46">+IFERROR(B27/A27-1,"nm")</f>
        <v>nm</v>
      </c>
      <c r="C28" s="45">
        <f t="shared" ref="C28" si="47">+IFERROR(C27/B27-1,"nm")</f>
        <v>7.6190476190476142E-2</v>
      </c>
      <c r="D28" s="45">
        <f t="shared" ref="D28" si="48">+IFERROR(D27/C27-1,"nm")</f>
        <v>2.9498525073746285E-2</v>
      </c>
      <c r="E28" s="45">
        <f t="shared" ref="E28" si="49">+IFERROR(E27/D27-1,"nm")</f>
        <v>1.0642652476463343E-2</v>
      </c>
      <c r="F28" s="45">
        <f t="shared" ref="F28" si="50">+IFERROR(F27/E27-1,"nm")</f>
        <v>6.5208586472256025E-2</v>
      </c>
      <c r="G28" s="45">
        <f t="shared" ref="G28" si="51">+IFERROR(G27/F27-1,"nm")</f>
        <v>-0.11806083650190113</v>
      </c>
      <c r="H28" s="45">
        <f t="shared" ref="H28" si="52">+IFERROR(H27/G27-1,"nm")</f>
        <v>8.3854278939426541E-2</v>
      </c>
      <c r="I28" s="45">
        <f>+IFERROR(I27/H27-1,"nm")</f>
        <v>9.2283214001591007E-2</v>
      </c>
      <c r="J28" s="45">
        <f>+J29+J30</f>
        <v>0</v>
      </c>
      <c r="K28" s="45">
        <f t="shared" ref="K28" si="53">+K29+K30</f>
        <v>0</v>
      </c>
      <c r="L28" s="45">
        <f t="shared" ref="L28" si="54">+L29+L30</f>
        <v>0</v>
      </c>
      <c r="M28" s="45">
        <f t="shared" ref="M28" si="55">+M29+M30</f>
        <v>0</v>
      </c>
      <c r="N28" s="45">
        <f t="shared" ref="N28" si="56">+N29+N30</f>
        <v>0</v>
      </c>
    </row>
    <row r="29" spans="1:15" x14ac:dyDescent="0.25">
      <c r="A29" s="42" t="s">
        <v>137</v>
      </c>
      <c r="B29" s="45">
        <f>+Historicals!B189</f>
        <v>0</v>
      </c>
      <c r="C29" s="45">
        <f>+Historicals!C189</f>
        <v>-0.31331699346405228</v>
      </c>
      <c r="D29" s="45">
        <f>+Historicals!D189</f>
        <v>2.9545905215149711E-2</v>
      </c>
      <c r="E29" s="45">
        <f>+Historicals!E189</f>
        <v>0.13154853620955315</v>
      </c>
      <c r="F29" s="45">
        <f>+Historicals!F189</f>
        <v>7.114893617021277E-2</v>
      </c>
      <c r="G29" s="45">
        <f>+Historicals!G189</f>
        <v>-6.3721595423486418E-2</v>
      </c>
      <c r="H29" s="45">
        <f>+Historicals!H189</f>
        <v>0.18295994568906992</v>
      </c>
      <c r="I29" s="45">
        <f>+Historicals!I189</f>
        <v>0.09</v>
      </c>
      <c r="J29" s="47">
        <v>0</v>
      </c>
      <c r="K29" s="47">
        <f t="shared" ref="K29:N29" si="57">+J29</f>
        <v>0</v>
      </c>
      <c r="L29" s="47">
        <f t="shared" si="57"/>
        <v>0</v>
      </c>
      <c r="M29" s="47">
        <f t="shared" si="57"/>
        <v>0</v>
      </c>
      <c r="N29" s="47">
        <f t="shared" si="57"/>
        <v>0</v>
      </c>
    </row>
    <row r="30" spans="1:15" x14ac:dyDescent="0.25">
      <c r="A30" s="42" t="s">
        <v>138</v>
      </c>
      <c r="B30" s="45" t="str">
        <f t="shared" ref="B30" si="58">+IFERROR(B28-B29,"nm")</f>
        <v>nm</v>
      </c>
      <c r="C30" s="45">
        <f t="shared" ref="C30" si="59">+IFERROR(C28-C29,"nm")</f>
        <v>0.38950746965452843</v>
      </c>
      <c r="D30" s="45">
        <f t="shared" ref="D30" si="60">+IFERROR(D28-D29,"nm")</f>
        <v>-4.7380141403426806E-5</v>
      </c>
      <c r="E30" s="45">
        <f t="shared" ref="E30" si="61">+IFERROR(E28-E29,"nm")</f>
        <v>-0.1209058837330898</v>
      </c>
      <c r="F30" s="45">
        <f t="shared" ref="F30" si="62">+IFERROR(F28-F29,"nm")</f>
        <v>-5.9403496979567455E-3</v>
      </c>
      <c r="G30" s="45">
        <f t="shared" ref="G30" si="63">+IFERROR(G28-G29,"nm")</f>
        <v>-5.4339241078414716E-2</v>
      </c>
      <c r="H30" s="45">
        <f t="shared" ref="H30" si="64">+IFERROR(H28-H29,"nm")</f>
        <v>-9.9105666749643384E-2</v>
      </c>
      <c r="I30" s="45">
        <f>+IFERROR(I28-I29,"nm")</f>
        <v>2.2832140015910107E-3</v>
      </c>
      <c r="J30" s="47">
        <v>0</v>
      </c>
      <c r="K30" s="47">
        <f t="shared" ref="K30:N30" si="65">+J30</f>
        <v>0</v>
      </c>
      <c r="L30" s="47">
        <f t="shared" si="65"/>
        <v>0</v>
      </c>
      <c r="M30" s="47">
        <f t="shared" si="65"/>
        <v>0</v>
      </c>
      <c r="N30" s="47">
        <f t="shared" si="65"/>
        <v>0</v>
      </c>
    </row>
    <row r="31" spans="1:15" x14ac:dyDescent="0.25">
      <c r="A31" s="43" t="s">
        <v>115</v>
      </c>
      <c r="B31" s="3">
        <f>+Historicals!B115</f>
        <v>824</v>
      </c>
      <c r="C31" s="3">
        <f>+Historicals!C115</f>
        <v>719</v>
      </c>
      <c r="D31" s="3">
        <f>+Historicals!D115</f>
        <v>646</v>
      </c>
      <c r="E31" s="3">
        <f>+Historicals!E115</f>
        <v>595</v>
      </c>
      <c r="F31" s="3">
        <f>+Historicals!F115</f>
        <v>597</v>
      </c>
      <c r="G31" s="3">
        <f>+Historicals!G115</f>
        <v>516</v>
      </c>
      <c r="H31" s="3">
        <f>+Historicals!H115</f>
        <v>507</v>
      </c>
      <c r="I31" s="3">
        <f>+Historicals!I115</f>
        <v>633</v>
      </c>
      <c r="J31" s="3">
        <f>+I31*(1+J32)</f>
        <v>633</v>
      </c>
      <c r="K31" s="3">
        <f t="shared" ref="K31" si="66">+J31*(1+K32)</f>
        <v>633</v>
      </c>
      <c r="L31" s="3">
        <f t="shared" ref="L31" si="67">+K31*(1+L32)</f>
        <v>633</v>
      </c>
      <c r="M31" s="3">
        <f t="shared" ref="M31" si="68">+L31*(1+M32)</f>
        <v>633</v>
      </c>
      <c r="N31" s="3">
        <f t="shared" ref="N31" si="69">+M31*(1+N32)</f>
        <v>633</v>
      </c>
    </row>
    <row r="32" spans="1:15" x14ac:dyDescent="0.25">
      <c r="A32" s="42" t="s">
        <v>129</v>
      </c>
      <c r="B32" s="45" t="str">
        <f t="shared" ref="B32" si="70">+IFERROR(B31/A31-1,"nm")</f>
        <v>nm</v>
      </c>
      <c r="C32" s="45">
        <f t="shared" ref="C32" si="71">+IFERROR(C31/B31-1,"nm")</f>
        <v>-0.12742718446601942</v>
      </c>
      <c r="D32" s="45">
        <f t="shared" ref="D32" si="72">+IFERROR(D31/C31-1,"nm")</f>
        <v>-0.10152990264255912</v>
      </c>
      <c r="E32" s="45">
        <f t="shared" ref="E32" si="73">+IFERROR(E31/D31-1,"nm")</f>
        <v>-7.8947368421052655E-2</v>
      </c>
      <c r="F32" s="45">
        <f t="shared" ref="F32" si="74">+IFERROR(F31/E31-1,"nm")</f>
        <v>3.3613445378151141E-3</v>
      </c>
      <c r="G32" s="45">
        <f t="shared" ref="G32" si="75">+IFERROR(G31/F31-1,"nm")</f>
        <v>-0.13567839195979903</v>
      </c>
      <c r="H32" s="45">
        <f t="shared" ref="H32" si="76">+IFERROR(H31/G31-1,"nm")</f>
        <v>-1.744186046511631E-2</v>
      </c>
      <c r="I32" s="45">
        <f>+IFERROR(I31/H31-1,"nm")</f>
        <v>0.24852071005917153</v>
      </c>
      <c r="J32" s="45">
        <f>+J33+J34</f>
        <v>0</v>
      </c>
      <c r="K32" s="45">
        <f t="shared" ref="K32" si="77">+K33+K34</f>
        <v>0</v>
      </c>
      <c r="L32" s="45">
        <f t="shared" ref="L32" si="78">+L33+L34</f>
        <v>0</v>
      </c>
      <c r="M32" s="45">
        <f t="shared" ref="M32" si="79">+M33+M34</f>
        <v>0</v>
      </c>
      <c r="N32" s="45">
        <f t="shared" ref="N32" si="80">+N33+N34</f>
        <v>0</v>
      </c>
    </row>
    <row r="33" spans="1:14" x14ac:dyDescent="0.25">
      <c r="A33" s="42" t="s">
        <v>137</v>
      </c>
      <c r="B33" s="45">
        <f>+Historicals!B187</f>
        <v>0</v>
      </c>
      <c r="C33" s="45">
        <f>+Historicals!C187</f>
        <v>-0.12742718446601942</v>
      </c>
      <c r="D33" s="45">
        <f>+Historicals!D187</f>
        <v>-0.10152990264255911</v>
      </c>
      <c r="E33" s="45">
        <f>+Historicals!E187</f>
        <v>-7.8947368421052627E-2</v>
      </c>
      <c r="F33" s="45">
        <f>+Historicals!F187</f>
        <v>3.3613445378151263E-3</v>
      </c>
      <c r="G33" s="45">
        <f>+Historicals!G187</f>
        <v>-0.135678391959799</v>
      </c>
      <c r="H33" s="45">
        <f>+Historicals!H187</f>
        <v>-1.7441860465116279E-2</v>
      </c>
      <c r="I33" s="45">
        <f>+Historicals!I187</f>
        <v>0.25</v>
      </c>
      <c r="J33" s="47">
        <v>0</v>
      </c>
      <c r="K33" s="47">
        <f t="shared" ref="K33:N33" si="81">+J33</f>
        <v>0</v>
      </c>
      <c r="L33" s="47">
        <f t="shared" si="81"/>
        <v>0</v>
      </c>
      <c r="M33" s="47">
        <f t="shared" si="81"/>
        <v>0</v>
      </c>
      <c r="N33" s="47">
        <f t="shared" si="81"/>
        <v>0</v>
      </c>
    </row>
    <row r="34" spans="1:14" x14ac:dyDescent="0.25">
      <c r="A34" s="42" t="s">
        <v>138</v>
      </c>
      <c r="B34" s="45" t="str">
        <f t="shared" ref="B34" si="82">+IFERROR(B32-B33,"nm")</f>
        <v>nm</v>
      </c>
      <c r="C34" s="45">
        <f t="shared" ref="C34" si="83">+IFERROR(C32-C33,"nm")</f>
        <v>0</v>
      </c>
      <c r="D34" s="45">
        <f t="shared" ref="D34" si="84">+IFERROR(D32-D33,"nm")</f>
        <v>-1.3877787807814457E-17</v>
      </c>
      <c r="E34" s="45">
        <f t="shared" ref="E34" si="85">+IFERROR(E32-E33,"nm")</f>
        <v>-2.7755575615628914E-17</v>
      </c>
      <c r="F34" s="45">
        <f t="shared" ref="F34" si="86">+IFERROR(F32-F33,"nm")</f>
        <v>-1.214306433183765E-17</v>
      </c>
      <c r="G34" s="45">
        <f t="shared" ref="G34" si="87">+IFERROR(G32-G33,"nm")</f>
        <v>-2.7755575615628914E-17</v>
      </c>
      <c r="H34" s="45">
        <f t="shared" ref="H34" si="88">+IFERROR(H32-H33,"nm")</f>
        <v>-3.1225022567582528E-17</v>
      </c>
      <c r="I34" s="45">
        <f>+IFERROR(I32-I33,"nm")</f>
        <v>-1.4792899408284654E-3</v>
      </c>
      <c r="J34" s="47">
        <v>0</v>
      </c>
      <c r="K34" s="47">
        <f t="shared" ref="K34:N34" si="89">+J34</f>
        <v>0</v>
      </c>
      <c r="L34" s="47">
        <f t="shared" si="89"/>
        <v>0</v>
      </c>
      <c r="M34" s="47">
        <f t="shared" si="89"/>
        <v>0</v>
      </c>
      <c r="N34" s="47">
        <f t="shared" si="89"/>
        <v>0</v>
      </c>
    </row>
    <row r="35" spans="1:14" x14ac:dyDescent="0.25">
      <c r="A35" s="9" t="s">
        <v>130</v>
      </c>
      <c r="B35" s="46">
        <f t="shared" ref="B35:H35" si="90">+B42+B38</f>
        <v>3766</v>
      </c>
      <c r="C35" s="46">
        <f t="shared" si="90"/>
        <v>3896</v>
      </c>
      <c r="D35" s="46">
        <f t="shared" si="90"/>
        <v>4015</v>
      </c>
      <c r="E35" s="46">
        <f t="shared" si="90"/>
        <v>3760</v>
      </c>
      <c r="F35" s="46">
        <f t="shared" si="90"/>
        <v>4074</v>
      </c>
      <c r="G35" s="46">
        <f t="shared" si="90"/>
        <v>3047</v>
      </c>
      <c r="H35" s="46">
        <f t="shared" si="90"/>
        <v>5219</v>
      </c>
      <c r="I35" s="46">
        <f>+I42+I38</f>
        <v>5238</v>
      </c>
      <c r="J35" s="46">
        <f>+J21*J37</f>
        <v>5238</v>
      </c>
      <c r="K35" s="46">
        <f t="shared" ref="K35:N35" si="91">+K21*K37</f>
        <v>5238</v>
      </c>
      <c r="L35" s="46">
        <f t="shared" si="91"/>
        <v>5238</v>
      </c>
      <c r="M35" s="46">
        <f t="shared" si="91"/>
        <v>5238</v>
      </c>
      <c r="N35" s="46">
        <f t="shared" si="91"/>
        <v>5238</v>
      </c>
    </row>
    <row r="36" spans="1:14" x14ac:dyDescent="0.25">
      <c r="A36" s="44" t="s">
        <v>129</v>
      </c>
      <c r="B36" s="45" t="str">
        <f t="shared" ref="B36" si="92">+IFERROR(B35/A35-1,"nm")</f>
        <v>nm</v>
      </c>
      <c r="C36" s="45">
        <f t="shared" ref="C36" si="93">+IFERROR(C35/B35-1,"nm")</f>
        <v>3.4519383961763239E-2</v>
      </c>
      <c r="D36" s="45">
        <f t="shared" ref="D36" si="94">+IFERROR(D35/C35-1,"nm")</f>
        <v>3.0544147843942548E-2</v>
      </c>
      <c r="E36" s="45">
        <f t="shared" ref="E36" si="95">+IFERROR(E35/D35-1,"nm")</f>
        <v>-6.3511830635118338E-2</v>
      </c>
      <c r="F36" s="45">
        <f t="shared" ref="F36" si="96">+IFERROR(F35/E35-1,"nm")</f>
        <v>8.3510638297872308E-2</v>
      </c>
      <c r="G36" s="45">
        <f t="shared" ref="G36" si="97">+IFERROR(G35/F35-1,"nm")</f>
        <v>-0.25208640157093765</v>
      </c>
      <c r="H36" s="45">
        <f t="shared" ref="H36" si="98">+IFERROR(H35/G35-1,"nm")</f>
        <v>0.71283229405973092</v>
      </c>
      <c r="I36" s="45">
        <f>+IFERROR(I35/H35-1,"nm")</f>
        <v>3.6405441655489312E-3</v>
      </c>
      <c r="J36" s="45">
        <f t="shared" ref="J36:N36" si="99">+IFERROR(J35/I35-1,"nm")</f>
        <v>0</v>
      </c>
      <c r="K36" s="45">
        <f t="shared" si="99"/>
        <v>0</v>
      </c>
      <c r="L36" s="45">
        <f t="shared" si="99"/>
        <v>0</v>
      </c>
      <c r="M36" s="45">
        <f t="shared" si="99"/>
        <v>0</v>
      </c>
      <c r="N36" s="45">
        <f t="shared" si="99"/>
        <v>0</v>
      </c>
    </row>
    <row r="37" spans="1:14" x14ac:dyDescent="0.25">
      <c r="A37" s="44" t="s">
        <v>131</v>
      </c>
      <c r="B37" s="45">
        <f t="shared" ref="B37:H37" si="100">+IFERROR(B35/B$21,"nm")</f>
        <v>0.27409024745269289</v>
      </c>
      <c r="C37" s="45">
        <f t="shared" si="100"/>
        <v>0.26388512598211866</v>
      </c>
      <c r="D37" s="45">
        <f t="shared" si="100"/>
        <v>0.26386698212407994</v>
      </c>
      <c r="E37" s="45">
        <f t="shared" si="100"/>
        <v>0.25311342982160889</v>
      </c>
      <c r="F37" s="45">
        <f t="shared" si="100"/>
        <v>0.25619418941013711</v>
      </c>
      <c r="G37" s="45">
        <f t="shared" si="100"/>
        <v>0.2103700635183651</v>
      </c>
      <c r="H37" s="45">
        <f t="shared" si="100"/>
        <v>0.30380115256999823</v>
      </c>
      <c r="I37" s="45">
        <f>+IFERROR(I35/I$21,"nm")</f>
        <v>0.28540293140086087</v>
      </c>
      <c r="J37" s="47">
        <f>+I37</f>
        <v>0.28540293140086087</v>
      </c>
      <c r="K37" s="47">
        <f t="shared" ref="K37:N37" si="101">+J37</f>
        <v>0.28540293140086087</v>
      </c>
      <c r="L37" s="47">
        <f t="shared" si="101"/>
        <v>0.28540293140086087</v>
      </c>
      <c r="M37" s="47">
        <f t="shared" si="101"/>
        <v>0.28540293140086087</v>
      </c>
      <c r="N37" s="47">
        <f t="shared" si="101"/>
        <v>0.28540293140086087</v>
      </c>
    </row>
    <row r="38" spans="1:14" x14ac:dyDescent="0.25">
      <c r="A38" s="9" t="s">
        <v>132</v>
      </c>
      <c r="B38" s="9">
        <f>+Historicals!B172</f>
        <v>121</v>
      </c>
      <c r="C38" s="9">
        <f>+Historicals!C172</f>
        <v>133</v>
      </c>
      <c r="D38" s="9">
        <f>+Historicals!D172</f>
        <v>140</v>
      </c>
      <c r="E38" s="9">
        <f>+Historicals!E172</f>
        <v>160</v>
      </c>
      <c r="F38" s="9">
        <f>+Historicals!F172</f>
        <v>149</v>
      </c>
      <c r="G38" s="9">
        <f>+Historicals!G172</f>
        <v>148</v>
      </c>
      <c r="H38" s="9">
        <f>+Historicals!H172</f>
        <v>130</v>
      </c>
      <c r="I38" s="9">
        <f>+Historicals!I172</f>
        <v>124</v>
      </c>
      <c r="J38" s="46">
        <f>+J41*J48</f>
        <v>124.00000000000001</v>
      </c>
      <c r="K38" s="46">
        <f t="shared" ref="K38:N38" si="102">+K41*K48</f>
        <v>124.00000000000001</v>
      </c>
      <c r="L38" s="46">
        <f t="shared" si="102"/>
        <v>124.00000000000001</v>
      </c>
      <c r="M38" s="46">
        <f t="shared" si="102"/>
        <v>124.00000000000001</v>
      </c>
      <c r="N38" s="46">
        <f t="shared" si="102"/>
        <v>124.00000000000001</v>
      </c>
    </row>
    <row r="39" spans="1:14" x14ac:dyDescent="0.25">
      <c r="A39" s="44" t="s">
        <v>129</v>
      </c>
      <c r="B39" s="45" t="str">
        <f t="shared" ref="B39" si="103">+IFERROR(B38/A38-1,"nm")</f>
        <v>nm</v>
      </c>
      <c r="C39" s="45">
        <f t="shared" ref="C39" si="104">+IFERROR(C38/B38-1,"nm")</f>
        <v>9.9173553719008156E-2</v>
      </c>
      <c r="D39" s="45">
        <f t="shared" ref="D39" si="105">+IFERROR(D38/C38-1,"nm")</f>
        <v>5.2631578947368363E-2</v>
      </c>
      <c r="E39" s="45">
        <f t="shared" ref="E39" si="106">+IFERROR(E38/D38-1,"nm")</f>
        <v>0.14285714285714279</v>
      </c>
      <c r="F39" s="45">
        <f t="shared" ref="F39" si="107">+IFERROR(F38/E38-1,"nm")</f>
        <v>-6.8749999999999978E-2</v>
      </c>
      <c r="G39" s="45">
        <f t="shared" ref="G39" si="108">+IFERROR(G38/F38-1,"nm")</f>
        <v>-6.7114093959731447E-3</v>
      </c>
      <c r="H39" s="45">
        <f t="shared" ref="H39" si="109">+IFERROR(H38/G38-1,"nm")</f>
        <v>-0.1216216216216216</v>
      </c>
      <c r="I39" s="45">
        <f>+IFERROR(I38/H38-1,"nm")</f>
        <v>-4.6153846153846101E-2</v>
      </c>
      <c r="J39" s="45">
        <f t="shared" ref="J39" si="110">+IFERROR(J38/I38-1,"nm")</f>
        <v>2.2204460492503131E-16</v>
      </c>
      <c r="K39" s="45">
        <f t="shared" ref="K39" si="111">+IFERROR(K38/J38-1,"nm")</f>
        <v>0</v>
      </c>
      <c r="L39" s="45">
        <f t="shared" ref="L39" si="112">+IFERROR(L38/K38-1,"nm")</f>
        <v>0</v>
      </c>
      <c r="M39" s="45">
        <f t="shared" ref="M39" si="113">+IFERROR(M38/L38-1,"nm")</f>
        <v>0</v>
      </c>
      <c r="N39" s="45">
        <f t="shared" ref="N39" si="114">+IFERROR(N38/M38-1,"nm")</f>
        <v>0</v>
      </c>
    </row>
    <row r="40" spans="1:14" x14ac:dyDescent="0.25">
      <c r="A40" s="44" t="s">
        <v>133</v>
      </c>
      <c r="B40" s="45">
        <f t="shared" ref="B40:H40" si="115">+IFERROR(B38/B$21,"nm")</f>
        <v>8.8064046579330417E-3</v>
      </c>
      <c r="C40" s="45">
        <f t="shared" si="115"/>
        <v>9.0083988079111346E-3</v>
      </c>
      <c r="D40" s="45">
        <f t="shared" si="115"/>
        <v>9.2008412197686646E-3</v>
      </c>
      <c r="E40" s="45">
        <f t="shared" si="115"/>
        <v>1.0770784247728038E-2</v>
      </c>
      <c r="F40" s="45">
        <f t="shared" si="115"/>
        <v>9.3698905798012821E-3</v>
      </c>
      <c r="G40" s="45">
        <f t="shared" si="115"/>
        <v>1.0218171775752554E-2</v>
      </c>
      <c r="H40" s="45">
        <f t="shared" si="115"/>
        <v>7.5673787764130628E-3</v>
      </c>
      <c r="I40" s="45">
        <f>+IFERROR(I38/I$21,"nm")</f>
        <v>6.7563886013185855E-3</v>
      </c>
      <c r="J40" s="45">
        <f t="shared" ref="J40:N40" si="116">+IFERROR(J38/J$21,"nm")</f>
        <v>6.7563886013185864E-3</v>
      </c>
      <c r="K40" s="45">
        <f t="shared" si="116"/>
        <v>6.7563886013185864E-3</v>
      </c>
      <c r="L40" s="45">
        <f t="shared" si="116"/>
        <v>6.7563886013185864E-3</v>
      </c>
      <c r="M40" s="45">
        <f t="shared" si="116"/>
        <v>6.7563886013185864E-3</v>
      </c>
      <c r="N40" s="45">
        <f t="shared" si="116"/>
        <v>6.7563886013185864E-3</v>
      </c>
    </row>
    <row r="41" spans="1:14" x14ac:dyDescent="0.25">
      <c r="A41" s="44" t="s">
        <v>140</v>
      </c>
      <c r="B41" s="45">
        <f t="shared" ref="B41:H41" si="117">+IFERROR(B38/B48,"nm")</f>
        <v>0.19145569620253164</v>
      </c>
      <c r="C41" s="45">
        <f t="shared" si="117"/>
        <v>0.17924528301886791</v>
      </c>
      <c r="D41" s="45">
        <f t="shared" si="117"/>
        <v>0.17094017094017094</v>
      </c>
      <c r="E41" s="45">
        <f t="shared" si="117"/>
        <v>0.18867924528301888</v>
      </c>
      <c r="F41" s="45">
        <f t="shared" si="117"/>
        <v>0.18304668304668303</v>
      </c>
      <c r="G41" s="45">
        <f t="shared" si="117"/>
        <v>0.22945736434108527</v>
      </c>
      <c r="H41" s="45">
        <f t="shared" si="117"/>
        <v>0.21069692058346839</v>
      </c>
      <c r="I41" s="45">
        <f>+IFERROR(I38/I48,"nm")</f>
        <v>0.19405320813771518</v>
      </c>
      <c r="J41" s="47">
        <f>+I41</f>
        <v>0.19405320813771518</v>
      </c>
      <c r="K41" s="47">
        <f t="shared" ref="K41:N41" si="118">+J41</f>
        <v>0.19405320813771518</v>
      </c>
      <c r="L41" s="47">
        <f t="shared" si="118"/>
        <v>0.19405320813771518</v>
      </c>
      <c r="M41" s="47">
        <f t="shared" si="118"/>
        <v>0.19405320813771518</v>
      </c>
      <c r="N41" s="47">
        <f t="shared" si="118"/>
        <v>0.19405320813771518</v>
      </c>
    </row>
    <row r="42" spans="1:14" x14ac:dyDescent="0.25">
      <c r="A42" s="9" t="s">
        <v>134</v>
      </c>
      <c r="B42" s="9">
        <f>+Historicals!B139</f>
        <v>3645</v>
      </c>
      <c r="C42" s="9">
        <f>+Historicals!C139</f>
        <v>3763</v>
      </c>
      <c r="D42" s="9">
        <f>+Historicals!D139</f>
        <v>3875</v>
      </c>
      <c r="E42" s="9">
        <f>+Historicals!E139</f>
        <v>3600</v>
      </c>
      <c r="F42" s="9">
        <f>+Historicals!F139</f>
        <v>3925</v>
      </c>
      <c r="G42" s="9">
        <f>+Historicals!G139</f>
        <v>2899</v>
      </c>
      <c r="H42" s="9">
        <f>+Historicals!H139</f>
        <v>5089</v>
      </c>
      <c r="I42" s="9">
        <f>+Historicals!I139</f>
        <v>5114</v>
      </c>
      <c r="J42" s="9">
        <f>+J35-J38</f>
        <v>5114</v>
      </c>
      <c r="K42" s="9">
        <f t="shared" ref="K42:N42" si="119">+K35-K38</f>
        <v>5114</v>
      </c>
      <c r="L42" s="9">
        <f t="shared" si="119"/>
        <v>5114</v>
      </c>
      <c r="M42" s="9">
        <f t="shared" si="119"/>
        <v>5114</v>
      </c>
      <c r="N42" s="9">
        <f t="shared" si="119"/>
        <v>5114</v>
      </c>
    </row>
    <row r="43" spans="1:14" x14ac:dyDescent="0.25">
      <c r="A43" s="44" t="s">
        <v>129</v>
      </c>
      <c r="B43" s="45" t="str">
        <f t="shared" ref="B43" si="120">+IFERROR(B42/A42-1,"nm")</f>
        <v>nm</v>
      </c>
      <c r="C43" s="45">
        <f t="shared" ref="C43" si="121">+IFERROR(C42/B42-1,"nm")</f>
        <v>3.2373113854595292E-2</v>
      </c>
      <c r="D43" s="45">
        <f t="shared" ref="D43" si="122">+IFERROR(D42/C42-1,"nm")</f>
        <v>2.9763486579856391E-2</v>
      </c>
      <c r="E43" s="45">
        <f t="shared" ref="E43" si="123">+IFERROR(E42/D42-1,"nm")</f>
        <v>-7.096774193548383E-2</v>
      </c>
      <c r="F43" s="45">
        <f t="shared" ref="F43" si="124">+IFERROR(F42/E42-1,"nm")</f>
        <v>9.0277777777777679E-2</v>
      </c>
      <c r="G43" s="45">
        <f t="shared" ref="G43" si="125">+IFERROR(G42/F42-1,"nm")</f>
        <v>-0.26140127388535028</v>
      </c>
      <c r="H43" s="45">
        <f t="shared" ref="H43" si="126">+IFERROR(H42/G42-1,"nm")</f>
        <v>0.75543290789927564</v>
      </c>
      <c r="I43" s="45">
        <f>+IFERROR(I42/H42-1,"nm")</f>
        <v>4.9125564943997002E-3</v>
      </c>
      <c r="J43" s="45">
        <f t="shared" ref="J43:N43" si="127">+IFERROR(J42/I42-1,"nm")</f>
        <v>0</v>
      </c>
      <c r="K43" s="45">
        <f t="shared" si="127"/>
        <v>0</v>
      </c>
      <c r="L43" s="45">
        <f t="shared" si="127"/>
        <v>0</v>
      </c>
      <c r="M43" s="45">
        <f t="shared" si="127"/>
        <v>0</v>
      </c>
      <c r="N43" s="45">
        <f t="shared" si="127"/>
        <v>0</v>
      </c>
    </row>
    <row r="44" spans="1:14" x14ac:dyDescent="0.25">
      <c r="A44" s="44" t="s">
        <v>131</v>
      </c>
      <c r="B44" s="45">
        <f t="shared" ref="B44:H44" si="128">+IFERROR(B42/B$21,"nm")</f>
        <v>0.26528384279475981</v>
      </c>
      <c r="C44" s="45">
        <f t="shared" si="128"/>
        <v>0.25487672717420751</v>
      </c>
      <c r="D44" s="45">
        <f t="shared" si="128"/>
        <v>0.25466614090431128</v>
      </c>
      <c r="E44" s="45">
        <f t="shared" si="128"/>
        <v>0.24234264557388085</v>
      </c>
      <c r="F44" s="45">
        <f t="shared" si="128"/>
        <v>0.2468242988303358</v>
      </c>
      <c r="G44" s="45">
        <f t="shared" si="128"/>
        <v>0.20015189174261253</v>
      </c>
      <c r="H44" s="45">
        <f t="shared" si="128"/>
        <v>0.29623377379358518</v>
      </c>
      <c r="I44" s="45">
        <f>+IFERROR(I42/I$21,"nm")</f>
        <v>0.27864654279954232</v>
      </c>
      <c r="J44" s="45">
        <f t="shared" ref="J44:N44" si="129">+IFERROR(J42/J$21,"nm")</f>
        <v>0.27864654279954232</v>
      </c>
      <c r="K44" s="45">
        <f t="shared" si="129"/>
        <v>0.27864654279954232</v>
      </c>
      <c r="L44" s="45">
        <f t="shared" si="129"/>
        <v>0.27864654279954232</v>
      </c>
      <c r="M44" s="45">
        <f t="shared" si="129"/>
        <v>0.27864654279954232</v>
      </c>
      <c r="N44" s="45">
        <f t="shared" si="129"/>
        <v>0.27864654279954232</v>
      </c>
    </row>
    <row r="45" spans="1:14" x14ac:dyDescent="0.25">
      <c r="A45" s="9" t="s">
        <v>135</v>
      </c>
      <c r="B45" s="9">
        <f>+Historicals!B161</f>
        <v>208</v>
      </c>
      <c r="C45" s="9">
        <f>+Historicals!C161</f>
        <v>242</v>
      </c>
      <c r="D45" s="9">
        <f>+Historicals!D161</f>
        <v>223</v>
      </c>
      <c r="E45" s="9">
        <f>+Historicals!E161</f>
        <v>196</v>
      </c>
      <c r="F45" s="9">
        <f>+Historicals!F161</f>
        <v>117</v>
      </c>
      <c r="G45" s="9">
        <f>+Historicals!G161</f>
        <v>110</v>
      </c>
      <c r="H45" s="9">
        <f>+Historicals!H161</f>
        <v>98</v>
      </c>
      <c r="I45" s="9">
        <f>+Historicals!I161</f>
        <v>146</v>
      </c>
      <c r="J45" s="46">
        <f>+J21*J47</f>
        <v>146</v>
      </c>
      <c r="K45" s="46">
        <f t="shared" ref="K45:N45" si="130">+K21*K47</f>
        <v>146</v>
      </c>
      <c r="L45" s="46">
        <f t="shared" si="130"/>
        <v>146</v>
      </c>
      <c r="M45" s="46">
        <f t="shared" si="130"/>
        <v>146</v>
      </c>
      <c r="N45" s="46">
        <f t="shared" si="130"/>
        <v>146</v>
      </c>
    </row>
    <row r="46" spans="1:14" x14ac:dyDescent="0.25">
      <c r="A46" s="44" t="s">
        <v>129</v>
      </c>
      <c r="B46" s="45" t="str">
        <f t="shared" ref="B46" si="131">+IFERROR(B45/A45-1,"nm")</f>
        <v>nm</v>
      </c>
      <c r="C46" s="45">
        <f t="shared" ref="C46" si="132">+IFERROR(C45/B45-1,"nm")</f>
        <v>0.16346153846153855</v>
      </c>
      <c r="D46" s="45">
        <f t="shared" ref="D46" si="133">+IFERROR(D45/C45-1,"nm")</f>
        <v>-7.8512396694214837E-2</v>
      </c>
      <c r="E46" s="45">
        <f t="shared" ref="E46" si="134">+IFERROR(E45/D45-1,"nm")</f>
        <v>-0.12107623318385652</v>
      </c>
      <c r="F46" s="45">
        <f t="shared" ref="F46" si="135">+IFERROR(F45/E45-1,"nm")</f>
        <v>-0.40306122448979587</v>
      </c>
      <c r="G46" s="45">
        <f t="shared" ref="G46" si="136">+IFERROR(G45/F45-1,"nm")</f>
        <v>-5.9829059829059839E-2</v>
      </c>
      <c r="H46" s="45">
        <f t="shared" ref="H46" si="137">+IFERROR(H45/G45-1,"nm")</f>
        <v>-0.10909090909090913</v>
      </c>
      <c r="I46" s="45">
        <f>+IFERROR(I45/H45-1,"nm")</f>
        <v>0.48979591836734704</v>
      </c>
      <c r="J46" s="45">
        <f t="shared" ref="J46" si="138">+IFERROR(J45/I45-1,"nm")</f>
        <v>0</v>
      </c>
      <c r="K46" s="45">
        <f t="shared" ref="K46" si="139">+IFERROR(K45/J45-1,"nm")</f>
        <v>0</v>
      </c>
      <c r="L46" s="45">
        <f t="shared" ref="L46" si="140">+IFERROR(L45/K45-1,"nm")</f>
        <v>0</v>
      </c>
      <c r="M46" s="45">
        <f t="shared" ref="M46" si="141">+IFERROR(M45/L45-1,"nm")</f>
        <v>0</v>
      </c>
      <c r="N46" s="45">
        <f t="shared" ref="N46" si="142">+IFERROR(N45/M45-1,"nm")</f>
        <v>0</v>
      </c>
    </row>
    <row r="47" spans="1:14" x14ac:dyDescent="0.25">
      <c r="A47" s="44" t="s">
        <v>133</v>
      </c>
      <c r="B47" s="45">
        <f t="shared" ref="B47:H47" si="143">+IFERROR(B45/B$21,"nm")</f>
        <v>1.5138282387190683E-2</v>
      </c>
      <c r="C47" s="45">
        <f t="shared" si="143"/>
        <v>1.6391221891086428E-2</v>
      </c>
      <c r="D47" s="45">
        <f t="shared" si="143"/>
        <v>1.4655625657202945E-2</v>
      </c>
      <c r="E47" s="45">
        <f t="shared" si="143"/>
        <v>1.3194210703466847E-2</v>
      </c>
      <c r="F47" s="45">
        <f t="shared" si="143"/>
        <v>7.3575650861526856E-3</v>
      </c>
      <c r="G47" s="45">
        <f t="shared" si="143"/>
        <v>7.5945871306268989E-3</v>
      </c>
      <c r="H47" s="45">
        <f t="shared" si="143"/>
        <v>5.7046393852960009E-3</v>
      </c>
      <c r="I47" s="45">
        <f>+IFERROR(I45/I$21,"nm")</f>
        <v>7.9551027080041418E-3</v>
      </c>
      <c r="J47" s="47">
        <f>+I47</f>
        <v>7.9551027080041418E-3</v>
      </c>
      <c r="K47" s="47">
        <f t="shared" ref="K47:N47" si="144">+J47</f>
        <v>7.9551027080041418E-3</v>
      </c>
      <c r="L47" s="47">
        <f t="shared" si="144"/>
        <v>7.9551027080041418E-3</v>
      </c>
      <c r="M47" s="47">
        <f t="shared" si="144"/>
        <v>7.9551027080041418E-3</v>
      </c>
      <c r="N47" s="47">
        <f t="shared" si="144"/>
        <v>7.9551027080041418E-3</v>
      </c>
    </row>
    <row r="48" spans="1:14" x14ac:dyDescent="0.25">
      <c r="A48" s="9" t="s">
        <v>141</v>
      </c>
      <c r="B48" s="9">
        <f>+Historicals!B150</f>
        <v>632</v>
      </c>
      <c r="C48" s="9">
        <f>+Historicals!C150</f>
        <v>742</v>
      </c>
      <c r="D48" s="9">
        <f>+Historicals!D150</f>
        <v>819</v>
      </c>
      <c r="E48" s="9">
        <f>+Historicals!E150</f>
        <v>848</v>
      </c>
      <c r="F48" s="9">
        <f>+Historicals!F150</f>
        <v>814</v>
      </c>
      <c r="G48" s="9">
        <f>+Historicals!G150</f>
        <v>645</v>
      </c>
      <c r="H48" s="9">
        <f>+Historicals!H150</f>
        <v>617</v>
      </c>
      <c r="I48" s="9">
        <f>+Historicals!I150</f>
        <v>639</v>
      </c>
      <c r="J48" s="46">
        <f>+J21*J50</f>
        <v>639.00000000000011</v>
      </c>
      <c r="K48" s="46">
        <f t="shared" ref="K48:N48" si="145">+K21*K50</f>
        <v>639.00000000000011</v>
      </c>
      <c r="L48" s="46">
        <f t="shared" si="145"/>
        <v>639.00000000000011</v>
      </c>
      <c r="M48" s="46">
        <f t="shared" si="145"/>
        <v>639.00000000000011</v>
      </c>
      <c r="N48" s="46">
        <f t="shared" si="145"/>
        <v>639.00000000000011</v>
      </c>
    </row>
    <row r="49" spans="1:14" x14ac:dyDescent="0.25">
      <c r="A49" s="44" t="s">
        <v>129</v>
      </c>
      <c r="B49" s="45" t="str">
        <f t="shared" ref="B49" si="146">+IFERROR(B48/A48-1,"nm")</f>
        <v>nm</v>
      </c>
      <c r="C49" s="45">
        <f t="shared" ref="C49" si="147">+IFERROR(C48/B48-1,"nm")</f>
        <v>0.17405063291139244</v>
      </c>
      <c r="D49" s="45">
        <f t="shared" ref="D49" si="148">+IFERROR(D48/C48-1,"nm")</f>
        <v>0.10377358490566047</v>
      </c>
      <c r="E49" s="45">
        <f t="shared" ref="E49" si="149">+IFERROR(E48/D48-1,"nm")</f>
        <v>3.5409035409035505E-2</v>
      </c>
      <c r="F49" s="45">
        <f t="shared" ref="F49" si="150">+IFERROR(F48/E48-1,"nm")</f>
        <v>-4.0094339622641528E-2</v>
      </c>
      <c r="G49" s="45">
        <f t="shared" ref="G49" si="151">+IFERROR(G48/F48-1,"nm")</f>
        <v>-0.20761670761670759</v>
      </c>
      <c r="H49" s="45">
        <f t="shared" ref="H49" si="152">+IFERROR(H48/G48-1,"nm")</f>
        <v>-4.3410852713178349E-2</v>
      </c>
      <c r="I49" s="45">
        <f>+IFERROR(I48/H48-1,"nm")</f>
        <v>3.5656401944894611E-2</v>
      </c>
      <c r="J49" s="45">
        <f>+J50+J51</f>
        <v>3.4817196098730456E-2</v>
      </c>
      <c r="K49" s="45">
        <f t="shared" ref="K49" si="153">+K50+K51</f>
        <v>3.4817196098730456E-2</v>
      </c>
      <c r="L49" s="45">
        <f t="shared" ref="L49" si="154">+L50+L51</f>
        <v>3.4817196098730456E-2</v>
      </c>
      <c r="M49" s="45">
        <f t="shared" ref="M49" si="155">+M50+M51</f>
        <v>3.4817196098730456E-2</v>
      </c>
      <c r="N49" s="45">
        <f t="shared" ref="N49" si="156">+N50+N51</f>
        <v>3.4817196098730456E-2</v>
      </c>
    </row>
    <row r="50" spans="1:14" x14ac:dyDescent="0.25">
      <c r="A50" s="44" t="s">
        <v>133</v>
      </c>
      <c r="B50" s="45">
        <f t="shared" ref="B50:H50" si="157">+IFERROR(B48/B$21,"nm")</f>
        <v>4.599708879184862E-2</v>
      </c>
      <c r="C50" s="45">
        <f t="shared" si="157"/>
        <v>5.0257382823083174E-2</v>
      </c>
      <c r="D50" s="45">
        <f t="shared" si="157"/>
        <v>5.3824921135646686E-2</v>
      </c>
      <c r="E50" s="45">
        <f t="shared" si="157"/>
        <v>5.7085156512958597E-2</v>
      </c>
      <c r="F50" s="45">
        <f t="shared" si="157"/>
        <v>5.1188529744686205E-2</v>
      </c>
      <c r="G50" s="45">
        <f t="shared" si="157"/>
        <v>4.4531897265948632E-2</v>
      </c>
      <c r="H50" s="45">
        <f t="shared" si="157"/>
        <v>3.5915943884975841E-2</v>
      </c>
      <c r="I50" s="45">
        <f>+IFERROR(I48/I$21,"nm")</f>
        <v>3.4817196098730456E-2</v>
      </c>
      <c r="J50" s="47">
        <f>+I50</f>
        <v>3.4817196098730456E-2</v>
      </c>
      <c r="K50" s="47">
        <f t="shared" ref="K50:N50" si="158">+J50</f>
        <v>3.4817196098730456E-2</v>
      </c>
      <c r="L50" s="47">
        <f t="shared" si="158"/>
        <v>3.4817196098730456E-2</v>
      </c>
      <c r="M50" s="47">
        <f t="shared" si="158"/>
        <v>3.4817196098730456E-2</v>
      </c>
      <c r="N50" s="47">
        <f t="shared" si="158"/>
        <v>3.4817196098730456E-2</v>
      </c>
    </row>
    <row r="51" spans="1:14" x14ac:dyDescent="0.25">
      <c r="A51" s="41" t="str">
        <f>+Historicals!A116</f>
        <v>Europe, Middle East &amp; Africa</v>
      </c>
      <c r="B51" s="41"/>
      <c r="C51" s="41"/>
      <c r="D51" s="41"/>
      <c r="E51" s="41"/>
      <c r="F51" s="41"/>
      <c r="G51" s="41"/>
      <c r="H51" s="41"/>
      <c r="I51" s="41"/>
      <c r="J51" s="37"/>
      <c r="K51" s="37"/>
      <c r="L51" s="37"/>
      <c r="M51" s="37"/>
      <c r="N51" s="37"/>
    </row>
    <row r="52" spans="1:14" x14ac:dyDescent="0.25">
      <c r="A52" s="60" t="s">
        <v>136</v>
      </c>
      <c r="B52" s="61">
        <v>7126</v>
      </c>
      <c r="C52" s="61">
        <v>7315</v>
      </c>
      <c r="D52" s="60">
        <v>7970</v>
      </c>
      <c r="E52" s="60">
        <v>9242</v>
      </c>
      <c r="F52" s="60">
        <v>9812</v>
      </c>
      <c r="G52" s="60">
        <v>9347</v>
      </c>
      <c r="H52" s="60">
        <v>11456</v>
      </c>
      <c r="I52" s="60">
        <v>12479</v>
      </c>
      <c r="J52" s="60">
        <f>I52*(1+J53)</f>
        <v>12479</v>
      </c>
      <c r="K52" s="60">
        <f t="shared" ref="K52:N52" si="159">J52*(1+K53)</f>
        <v>12479</v>
      </c>
      <c r="L52" s="60">
        <f>K52*(1+L53)</f>
        <v>12479</v>
      </c>
      <c r="M52" s="60">
        <f t="shared" si="159"/>
        <v>12479</v>
      </c>
      <c r="N52" s="60">
        <f t="shared" si="159"/>
        <v>12479</v>
      </c>
    </row>
    <row r="53" spans="1:14" x14ac:dyDescent="0.25">
      <c r="A53" s="62" t="s">
        <v>129</v>
      </c>
      <c r="B53" s="63" t="s">
        <v>225</v>
      </c>
      <c r="C53" s="63">
        <v>2.6522593320235766E-2</v>
      </c>
      <c r="D53" s="63">
        <v>8.9542036910458034E-2</v>
      </c>
      <c r="E53" s="63">
        <v>0.15959849435382689</v>
      </c>
      <c r="F53" s="63">
        <v>6.1674962129409261E-2</v>
      </c>
      <c r="G53" s="63">
        <v>-4.7390949857317621E-2</v>
      </c>
      <c r="H53" s="63">
        <v>0.22563389322777372</v>
      </c>
      <c r="I53" s="63">
        <v>8.9298184357541999E-2</v>
      </c>
      <c r="J53" s="64">
        <f>J22</f>
        <v>0</v>
      </c>
      <c r="K53" s="64">
        <f t="shared" ref="K53:N53" si="160">J53</f>
        <v>0</v>
      </c>
      <c r="L53" s="64">
        <f t="shared" si="160"/>
        <v>0</v>
      </c>
      <c r="M53" s="64">
        <f t="shared" si="160"/>
        <v>0</v>
      </c>
      <c r="N53" s="64">
        <f t="shared" si="160"/>
        <v>0</v>
      </c>
    </row>
    <row r="54" spans="1:14" x14ac:dyDescent="0.25">
      <c r="A54" s="60" t="s">
        <v>113</v>
      </c>
      <c r="B54" s="61">
        <v>4703</v>
      </c>
      <c r="C54" s="60">
        <v>4867</v>
      </c>
      <c r="D54" s="60">
        <v>5192</v>
      </c>
      <c r="E54" s="60">
        <v>5875</v>
      </c>
      <c r="F54" s="60">
        <v>6293</v>
      </c>
      <c r="G54" s="60">
        <v>5892</v>
      </c>
      <c r="H54" s="60">
        <v>6970</v>
      </c>
      <c r="I54" s="60">
        <v>7388</v>
      </c>
      <c r="J54" s="60">
        <f>I54*(1+J55)</f>
        <v>7388</v>
      </c>
      <c r="K54" s="60">
        <f t="shared" ref="K54:M54" si="161">J54*(1+K55)</f>
        <v>7388</v>
      </c>
      <c r="L54" s="60">
        <f t="shared" si="161"/>
        <v>7388</v>
      </c>
      <c r="M54" s="60">
        <f t="shared" si="161"/>
        <v>7388</v>
      </c>
      <c r="N54" s="60">
        <f>M54*(1+N55)</f>
        <v>7388</v>
      </c>
    </row>
    <row r="55" spans="1:14" x14ac:dyDescent="0.25">
      <c r="A55" s="65" t="s">
        <v>129</v>
      </c>
      <c r="B55" s="66" t="s">
        <v>225</v>
      </c>
      <c r="C55" s="66">
        <v>3.4871358707208255E-2</v>
      </c>
      <c r="D55" s="66">
        <v>6.6776248202177868E-2</v>
      </c>
      <c r="E55" s="66">
        <v>0.1315485362095532</v>
      </c>
      <c r="F55" s="66">
        <v>7.1148936170212673E-2</v>
      </c>
      <c r="G55" s="66">
        <v>-6.3721595423486432E-2</v>
      </c>
      <c r="H55" s="66">
        <v>0.18295994568907001</v>
      </c>
      <c r="I55" s="66">
        <v>5.9971305595408975E-2</v>
      </c>
      <c r="J55" s="67">
        <f>J53</f>
        <v>0</v>
      </c>
      <c r="K55" s="67">
        <f t="shared" ref="K55:N55" si="162">K53</f>
        <v>0</v>
      </c>
      <c r="L55" s="67">
        <f t="shared" si="162"/>
        <v>0</v>
      </c>
      <c r="M55" s="67">
        <f t="shared" si="162"/>
        <v>0</v>
      </c>
      <c r="N55" s="67">
        <f t="shared" si="162"/>
        <v>0</v>
      </c>
    </row>
    <row r="56" spans="1:14" x14ac:dyDescent="0.25">
      <c r="A56" s="65" t="s">
        <v>137</v>
      </c>
      <c r="B56" s="66">
        <v>0.23499999999999999</v>
      </c>
      <c r="C56" s="66">
        <v>0.185</v>
      </c>
      <c r="D56" s="66">
        <v>0.08</v>
      </c>
      <c r="E56" s="66">
        <v>0.06</v>
      </c>
      <c r="F56" s="66">
        <v>0.12</v>
      </c>
      <c r="G56" s="66">
        <v>-0.03</v>
      </c>
      <c r="H56" s="66">
        <v>0.13</v>
      </c>
      <c r="I56" s="66">
        <v>0.09</v>
      </c>
      <c r="J56" s="67">
        <f>J55</f>
        <v>0</v>
      </c>
      <c r="K56" s="67">
        <f t="shared" ref="K56:N56" si="163">K55</f>
        <v>0</v>
      </c>
      <c r="L56" s="67">
        <f t="shared" si="163"/>
        <v>0</v>
      </c>
      <c r="M56" s="67">
        <f t="shared" si="163"/>
        <v>0</v>
      </c>
      <c r="N56" s="67">
        <f t="shared" si="163"/>
        <v>0</v>
      </c>
    </row>
    <row r="57" spans="1:14" x14ac:dyDescent="0.25">
      <c r="A57" s="65" t="s">
        <v>138</v>
      </c>
      <c r="B57" s="66" t="s">
        <v>225</v>
      </c>
      <c r="C57" s="66">
        <v>0.18849383084977436</v>
      </c>
      <c r="D57" s="66">
        <v>0.83470310252722335</v>
      </c>
      <c r="E57" s="66">
        <v>2.1924756034925537</v>
      </c>
      <c r="F57" s="66">
        <v>0.59290780141843902</v>
      </c>
      <c r="G57" s="66">
        <v>2.1240531807828811</v>
      </c>
      <c r="H57" s="66">
        <v>1.4073841976082311</v>
      </c>
      <c r="I57" s="66">
        <v>0.66634783994898861</v>
      </c>
      <c r="J57" s="67">
        <v>0</v>
      </c>
      <c r="K57" s="67">
        <v>0</v>
      </c>
      <c r="L57" s="67">
        <v>0</v>
      </c>
      <c r="M57" s="67">
        <v>0</v>
      </c>
      <c r="N57" s="67">
        <v>0</v>
      </c>
    </row>
    <row r="58" spans="1:14" x14ac:dyDescent="0.25">
      <c r="A58" s="60" t="s">
        <v>114</v>
      </c>
      <c r="B58" s="60">
        <v>2050</v>
      </c>
      <c r="C58" s="60">
        <v>2091</v>
      </c>
      <c r="D58" s="60">
        <v>2395</v>
      </c>
      <c r="E58" s="60">
        <v>2940</v>
      </c>
      <c r="F58" s="60">
        <v>3087</v>
      </c>
      <c r="G58" s="60">
        <v>3053</v>
      </c>
      <c r="H58" s="60">
        <v>3996</v>
      </c>
      <c r="I58" s="60">
        <v>4527</v>
      </c>
      <c r="J58" s="60">
        <f>I58*(1+J59)</f>
        <v>4527</v>
      </c>
      <c r="K58" s="60">
        <f t="shared" ref="K58:M58" si="164">J58*(1+K59)</f>
        <v>4527</v>
      </c>
      <c r="L58" s="60">
        <f t="shared" si="164"/>
        <v>4527</v>
      </c>
      <c r="M58" s="60">
        <f t="shared" si="164"/>
        <v>4527</v>
      </c>
      <c r="N58" s="60">
        <f>M58*(1+N59)</f>
        <v>4527</v>
      </c>
    </row>
    <row r="59" spans="1:14" x14ac:dyDescent="0.25">
      <c r="A59" s="65" t="s">
        <v>129</v>
      </c>
      <c r="B59" s="66" t="s">
        <v>225</v>
      </c>
      <c r="C59" s="66">
        <v>2.0000000000000018E-2</v>
      </c>
      <c r="D59" s="66">
        <v>0.14538498326159721</v>
      </c>
      <c r="E59" s="66">
        <v>0.22755741127348639</v>
      </c>
      <c r="F59" s="66">
        <v>5.0000000000000044E-2</v>
      </c>
      <c r="G59" s="66">
        <v>-1.1013929381276322E-2</v>
      </c>
      <c r="H59" s="66">
        <v>0.30887651490337364</v>
      </c>
      <c r="I59" s="66">
        <v>0.13288288288288297</v>
      </c>
      <c r="J59" s="67">
        <f>J55</f>
        <v>0</v>
      </c>
      <c r="K59" s="67">
        <f t="shared" ref="K59:N59" si="165">K55</f>
        <v>0</v>
      </c>
      <c r="L59" s="67">
        <f t="shared" si="165"/>
        <v>0</v>
      </c>
      <c r="M59" s="67">
        <f t="shared" si="165"/>
        <v>0</v>
      </c>
      <c r="N59" s="67">
        <f t="shared" si="165"/>
        <v>0</v>
      </c>
    </row>
    <row r="60" spans="1:14" x14ac:dyDescent="0.25">
      <c r="A60" s="65" t="s">
        <v>137</v>
      </c>
      <c r="B60" s="66">
        <v>9.5000000000000001E-2</v>
      </c>
      <c r="C60" s="66">
        <v>0.125</v>
      </c>
      <c r="D60" s="66">
        <v>0.17</v>
      </c>
      <c r="E60" s="66">
        <v>0.16</v>
      </c>
      <c r="F60" s="66">
        <v>0.09</v>
      </c>
      <c r="G60" s="66">
        <v>0.02</v>
      </c>
      <c r="H60" s="66">
        <v>0.25</v>
      </c>
      <c r="I60" s="66">
        <v>0.16</v>
      </c>
      <c r="J60" s="67">
        <f>J59</f>
        <v>0</v>
      </c>
      <c r="K60" s="67">
        <f t="shared" ref="K60:N60" si="166">K59</f>
        <v>0</v>
      </c>
      <c r="L60" s="67">
        <f t="shared" si="166"/>
        <v>0</v>
      </c>
      <c r="M60" s="67">
        <f t="shared" si="166"/>
        <v>0</v>
      </c>
      <c r="N60" s="67">
        <f t="shared" si="166"/>
        <v>0</v>
      </c>
    </row>
    <row r="61" spans="1:14" x14ac:dyDescent="0.25">
      <c r="A61" s="65" t="s">
        <v>138</v>
      </c>
      <c r="B61" s="66" t="s">
        <v>225</v>
      </c>
      <c r="C61" s="66">
        <v>0.16000000000000014</v>
      </c>
      <c r="D61" s="66">
        <v>0.85520578389174828</v>
      </c>
      <c r="E61" s="66">
        <v>1.4222338204592899</v>
      </c>
      <c r="F61" s="66">
        <v>0.55555555555555602</v>
      </c>
      <c r="G61" s="66">
        <v>-0.55069646906381609</v>
      </c>
      <c r="H61" s="66">
        <v>1.2355060596134946</v>
      </c>
      <c r="I61" s="66">
        <v>0.8305180180180185</v>
      </c>
      <c r="J61" s="67">
        <v>0</v>
      </c>
      <c r="K61" s="67">
        <v>0</v>
      </c>
      <c r="L61" s="67">
        <v>0</v>
      </c>
      <c r="M61" s="67">
        <v>0</v>
      </c>
      <c r="N61" s="67">
        <v>0</v>
      </c>
    </row>
    <row r="62" spans="1:14" x14ac:dyDescent="0.25">
      <c r="A62" s="60" t="s">
        <v>115</v>
      </c>
      <c r="B62" s="68">
        <v>373</v>
      </c>
      <c r="C62" s="68">
        <v>357</v>
      </c>
      <c r="D62" s="68">
        <v>383</v>
      </c>
      <c r="E62" s="68">
        <v>427</v>
      </c>
      <c r="F62" s="68">
        <v>432</v>
      </c>
      <c r="G62" s="68">
        <v>402</v>
      </c>
      <c r="H62" s="68">
        <v>490</v>
      </c>
      <c r="I62" s="68">
        <v>564</v>
      </c>
      <c r="J62" s="69">
        <f>I62*(1+J63)</f>
        <v>564</v>
      </c>
      <c r="K62" s="69">
        <f t="shared" ref="K62:N62" si="167">J62*(1+K63)</f>
        <v>564</v>
      </c>
      <c r="L62" s="69">
        <f t="shared" si="167"/>
        <v>564</v>
      </c>
      <c r="M62" s="69">
        <f t="shared" si="167"/>
        <v>564</v>
      </c>
      <c r="N62" s="69">
        <f t="shared" si="167"/>
        <v>564</v>
      </c>
    </row>
    <row r="63" spans="1:14" x14ac:dyDescent="0.25">
      <c r="A63" s="65" t="s">
        <v>129</v>
      </c>
      <c r="B63" s="70" t="s">
        <v>225</v>
      </c>
      <c r="C63" s="70">
        <v>-4.2895442359249358E-2</v>
      </c>
      <c r="D63" s="70">
        <v>7.2829131652661028E-2</v>
      </c>
      <c r="E63" s="70">
        <v>0.11488250652741505</v>
      </c>
      <c r="F63" s="70">
        <v>1.1709601873536313E-2</v>
      </c>
      <c r="G63" s="70">
        <v>-6.944444444444442E-2</v>
      </c>
      <c r="H63" s="70">
        <v>0.21890547263681581</v>
      </c>
      <c r="I63" s="70">
        <v>0.15102040816326534</v>
      </c>
      <c r="J63" s="70">
        <f>J59</f>
        <v>0</v>
      </c>
      <c r="K63" s="70">
        <f t="shared" ref="K63:N63" si="168">K59</f>
        <v>0</v>
      </c>
      <c r="L63" s="70">
        <f t="shared" si="168"/>
        <v>0</v>
      </c>
      <c r="M63" s="70">
        <f t="shared" si="168"/>
        <v>0</v>
      </c>
      <c r="N63" s="70">
        <f t="shared" si="168"/>
        <v>0</v>
      </c>
    </row>
    <row r="64" spans="1:14" x14ac:dyDescent="0.25">
      <c r="A64" s="65" t="s">
        <v>137</v>
      </c>
      <c r="B64" s="70">
        <v>0.14500000000000002</v>
      </c>
      <c r="C64" s="70">
        <v>7.5000000000000011E-2</v>
      </c>
      <c r="D64" s="70">
        <v>7.0000000000000007E-2</v>
      </c>
      <c r="E64" s="70">
        <v>0.06</v>
      </c>
      <c r="F64" s="70">
        <v>0.05</v>
      </c>
      <c r="G64" s="70">
        <v>-0.03</v>
      </c>
      <c r="H64" s="70">
        <v>0.19</v>
      </c>
      <c r="I64" s="70">
        <v>0.17</v>
      </c>
      <c r="J64" s="71">
        <f>J63</f>
        <v>0</v>
      </c>
      <c r="K64" s="71">
        <f t="shared" ref="K64:N64" si="169">K63</f>
        <v>0</v>
      </c>
      <c r="L64" s="71">
        <f t="shared" si="169"/>
        <v>0</v>
      </c>
      <c r="M64" s="71">
        <f t="shared" si="169"/>
        <v>0</v>
      </c>
      <c r="N64" s="71">
        <f t="shared" si="169"/>
        <v>0</v>
      </c>
    </row>
    <row r="65" spans="1:14" x14ac:dyDescent="0.25">
      <c r="A65" s="65" t="s">
        <v>138</v>
      </c>
      <c r="B65" s="70" t="s">
        <v>225</v>
      </c>
      <c r="C65" s="70">
        <v>-0.57193923145665804</v>
      </c>
      <c r="D65" s="70">
        <v>1.0404161664665861</v>
      </c>
      <c r="E65" s="70">
        <v>1.9147084421235843</v>
      </c>
      <c r="F65" s="70">
        <v>0.23419203747072626</v>
      </c>
      <c r="G65" s="70">
        <v>2.314814814814814</v>
      </c>
      <c r="H65" s="70">
        <v>1.152134066509557</v>
      </c>
      <c r="I65" s="70">
        <v>0.88835534213685485</v>
      </c>
      <c r="J65" s="70">
        <v>0</v>
      </c>
      <c r="K65" s="70">
        <v>0</v>
      </c>
      <c r="L65" s="70">
        <v>0</v>
      </c>
      <c r="M65" s="70">
        <v>0</v>
      </c>
      <c r="N65" s="70">
        <v>0</v>
      </c>
    </row>
    <row r="66" spans="1:14" x14ac:dyDescent="0.25">
      <c r="A66" s="60" t="s">
        <v>130</v>
      </c>
      <c r="B66" s="61">
        <v>1611</v>
      </c>
      <c r="C66" s="61">
        <v>1807</v>
      </c>
      <c r="D66" s="68">
        <v>1613</v>
      </c>
      <c r="E66" s="68">
        <v>1703</v>
      </c>
      <c r="F66" s="68">
        <v>2106</v>
      </c>
      <c r="G66" s="68">
        <v>1673</v>
      </c>
      <c r="H66" s="68">
        <v>2571</v>
      </c>
      <c r="I66" s="68">
        <v>3427</v>
      </c>
      <c r="J66" s="69">
        <f>I66*(1+J67)</f>
        <v>3427</v>
      </c>
      <c r="K66" s="69">
        <f t="shared" ref="K66:N66" si="170">J66*(1+K67)</f>
        <v>3427</v>
      </c>
      <c r="L66" s="69">
        <f t="shared" si="170"/>
        <v>3427</v>
      </c>
      <c r="M66" s="69">
        <f t="shared" si="170"/>
        <v>3427</v>
      </c>
      <c r="N66" s="69">
        <f t="shared" si="170"/>
        <v>3427</v>
      </c>
    </row>
    <row r="67" spans="1:14" x14ac:dyDescent="0.25">
      <c r="A67" s="72" t="s">
        <v>129</v>
      </c>
      <c r="B67" s="70" t="s">
        <v>225</v>
      </c>
      <c r="C67" s="70">
        <v>0.12166356300434522</v>
      </c>
      <c r="D67" s="70">
        <v>-0.10736026563364698</v>
      </c>
      <c r="E67" s="70">
        <v>5.5796652200867936E-2</v>
      </c>
      <c r="F67" s="70">
        <v>0.23664122137404586</v>
      </c>
      <c r="G67" s="70">
        <v>-0.20560303893637222</v>
      </c>
      <c r="H67" s="70">
        <v>0.53676031081888831</v>
      </c>
      <c r="I67" s="70">
        <v>0.33294437961882539</v>
      </c>
      <c r="J67" s="70">
        <f>J63</f>
        <v>0</v>
      </c>
      <c r="K67" s="70">
        <f t="shared" ref="K67:N67" si="171">K63</f>
        <v>0</v>
      </c>
      <c r="L67" s="70">
        <f t="shared" si="171"/>
        <v>0</v>
      </c>
      <c r="M67" s="70">
        <f t="shared" si="171"/>
        <v>0</v>
      </c>
      <c r="N67" s="70">
        <f t="shared" si="171"/>
        <v>0</v>
      </c>
    </row>
    <row r="68" spans="1:14" x14ac:dyDescent="0.25">
      <c r="A68" s="72" t="s">
        <v>131</v>
      </c>
      <c r="B68" s="70">
        <v>0.22607353353915241</v>
      </c>
      <c r="C68" s="70">
        <v>0.24702665755297334</v>
      </c>
      <c r="D68" s="70">
        <v>0.20238393977415309</v>
      </c>
      <c r="E68" s="70">
        <v>0.18426747457260334</v>
      </c>
      <c r="F68" s="70">
        <v>0.21463514064410924</v>
      </c>
      <c r="G68" s="70">
        <v>0.17898791055953783</v>
      </c>
      <c r="H68" s="70">
        <v>0.22442388268156424</v>
      </c>
      <c r="I68" s="70">
        <v>0.27462136389133746</v>
      </c>
      <c r="J68" s="73">
        <v>0.27462136389133746</v>
      </c>
      <c r="K68" s="73">
        <v>0.27462136389133746</v>
      </c>
      <c r="L68" s="73">
        <v>0.27462136389133746</v>
      </c>
      <c r="M68" s="73">
        <v>0.27462136389133746</v>
      </c>
      <c r="N68" s="73">
        <v>0.27462136389133746</v>
      </c>
    </row>
    <row r="69" spans="1:14" x14ac:dyDescent="0.25">
      <c r="A69" s="60" t="s">
        <v>132</v>
      </c>
      <c r="B69" s="68">
        <v>87</v>
      </c>
      <c r="C69" s="68">
        <v>84</v>
      </c>
      <c r="D69" s="68">
        <v>106</v>
      </c>
      <c r="E69" s="68">
        <v>116</v>
      </c>
      <c r="F69" s="68">
        <v>111</v>
      </c>
      <c r="G69" s="68">
        <v>132</v>
      </c>
      <c r="H69" s="68">
        <v>136</v>
      </c>
      <c r="I69" s="68">
        <v>134</v>
      </c>
      <c r="J69" s="69">
        <f>I69*(1+J70)</f>
        <v>134</v>
      </c>
      <c r="K69" s="69">
        <f t="shared" ref="K69:N69" si="172">J69*(1+K70)</f>
        <v>134</v>
      </c>
      <c r="L69" s="69">
        <f t="shared" si="172"/>
        <v>134</v>
      </c>
      <c r="M69" s="69">
        <f t="shared" si="172"/>
        <v>134</v>
      </c>
      <c r="N69" s="69">
        <f t="shared" si="172"/>
        <v>134</v>
      </c>
    </row>
    <row r="70" spans="1:14" x14ac:dyDescent="0.25">
      <c r="A70" s="72" t="s">
        <v>129</v>
      </c>
      <c r="B70" s="70" t="s">
        <v>225</v>
      </c>
      <c r="C70" s="70">
        <v>-3.4482758620689613E-2</v>
      </c>
      <c r="D70" s="70">
        <v>0.26190476190476186</v>
      </c>
      <c r="E70" s="70">
        <v>9.4339622641509413E-2</v>
      </c>
      <c r="F70" s="70">
        <v>-4.31034482758621E-2</v>
      </c>
      <c r="G70" s="70">
        <v>0.18918918918918926</v>
      </c>
      <c r="H70" s="70">
        <v>3.0303030303030276E-2</v>
      </c>
      <c r="I70" s="70">
        <v>-1.4705882352941124E-2</v>
      </c>
      <c r="J70" s="73">
        <f>J67</f>
        <v>0</v>
      </c>
      <c r="K70" s="73">
        <f t="shared" ref="K70:N70" si="173">K67</f>
        <v>0</v>
      </c>
      <c r="L70" s="73">
        <f t="shared" si="173"/>
        <v>0</v>
      </c>
      <c r="M70" s="73">
        <f t="shared" si="173"/>
        <v>0</v>
      </c>
      <c r="N70" s="73">
        <f t="shared" si="173"/>
        <v>0</v>
      </c>
    </row>
    <row r="71" spans="1:14" x14ac:dyDescent="0.25">
      <c r="A71" s="72" t="s">
        <v>133</v>
      </c>
      <c r="B71" s="70">
        <v>1.2208812798203761E-2</v>
      </c>
      <c r="C71" s="70">
        <v>1.1483253588516746E-2</v>
      </c>
      <c r="D71" s="70">
        <v>1.3299874529485571E-2</v>
      </c>
      <c r="E71" s="70">
        <v>1.2551395801774508E-2</v>
      </c>
      <c r="F71" s="70">
        <v>1.1312678353037097E-2</v>
      </c>
      <c r="G71" s="70">
        <v>1.4122178239007167E-2</v>
      </c>
      <c r="H71" s="70">
        <v>1.1871508379888268E-2</v>
      </c>
      <c r="I71" s="70">
        <v>1.0738039907043834E-2</v>
      </c>
      <c r="J71" s="73">
        <v>1.0738039907043834E-2</v>
      </c>
      <c r="K71" s="73">
        <v>1.0738039907043834E-2</v>
      </c>
      <c r="L71" s="73">
        <v>1.0738039907043834E-2</v>
      </c>
      <c r="M71" s="73">
        <v>1.0738039907043834E-2</v>
      </c>
      <c r="N71" s="73">
        <v>1.0738039907043834E-2</v>
      </c>
    </row>
    <row r="72" spans="1:14" x14ac:dyDescent="0.25">
      <c r="A72" s="72" t="s">
        <v>140</v>
      </c>
      <c r="B72" s="70">
        <v>0.1746987951807229</v>
      </c>
      <c r="C72" s="70">
        <v>0.13145539906103287</v>
      </c>
      <c r="D72" s="70">
        <v>0.14950634696755993</v>
      </c>
      <c r="E72" s="70">
        <v>0.13663133097762073</v>
      </c>
      <c r="F72" s="70">
        <v>0.11948331539289558</v>
      </c>
      <c r="G72" s="70">
        <v>0.14915254237288136</v>
      </c>
      <c r="H72" s="70">
        <v>0.1384928716904277</v>
      </c>
      <c r="I72" s="70">
        <v>0.14565217391304347</v>
      </c>
      <c r="J72" s="73">
        <v>0.1436770762617964</v>
      </c>
      <c r="K72" s="73">
        <v>0.14172876166930606</v>
      </c>
      <c r="L72" s="73">
        <v>0.13980686694733421</v>
      </c>
      <c r="M72" s="73">
        <v>0.13791103383261016</v>
      </c>
      <c r="N72" s="73">
        <v>0.13604090892004644</v>
      </c>
    </row>
    <row r="73" spans="1:14" x14ac:dyDescent="0.25">
      <c r="A73" s="60" t="s">
        <v>134</v>
      </c>
      <c r="B73" s="61">
        <v>1524</v>
      </c>
      <c r="C73" s="61">
        <v>1723</v>
      </c>
      <c r="D73" s="68">
        <v>1507</v>
      </c>
      <c r="E73" s="68">
        <v>1587</v>
      </c>
      <c r="F73" s="68">
        <v>1995</v>
      </c>
      <c r="G73" s="68">
        <v>1541</v>
      </c>
      <c r="H73" s="68">
        <v>2435</v>
      </c>
      <c r="I73" s="68">
        <v>3293</v>
      </c>
      <c r="J73" s="69">
        <f>I73*(1+J74)</f>
        <v>3293</v>
      </c>
      <c r="K73" s="69">
        <f t="shared" ref="K73:N73" si="174">J73*(1+K74)</f>
        <v>3293</v>
      </c>
      <c r="L73" s="69">
        <f t="shared" si="174"/>
        <v>3293</v>
      </c>
      <c r="M73" s="69">
        <f t="shared" si="174"/>
        <v>3293</v>
      </c>
      <c r="N73" s="69">
        <f t="shared" si="174"/>
        <v>3293</v>
      </c>
    </row>
    <row r="74" spans="1:14" x14ac:dyDescent="0.25">
      <c r="A74" s="72" t="s">
        <v>129</v>
      </c>
      <c r="B74" s="70" t="s">
        <v>225</v>
      </c>
      <c r="C74" s="70">
        <v>0.13057742782152237</v>
      </c>
      <c r="D74" s="70">
        <v>-0.12536273940800924</v>
      </c>
      <c r="E74" s="70">
        <v>5.3085600530855981E-2</v>
      </c>
      <c r="F74" s="70">
        <v>0.25708884688090738</v>
      </c>
      <c r="G74" s="70">
        <v>-0.22756892230576442</v>
      </c>
      <c r="H74" s="70">
        <v>0.58014276443867629</v>
      </c>
      <c r="I74" s="70">
        <v>0.3523613963039014</v>
      </c>
      <c r="J74" s="70">
        <f>J70</f>
        <v>0</v>
      </c>
      <c r="K74" s="70">
        <f t="shared" ref="K74:N74" si="175">K70</f>
        <v>0</v>
      </c>
      <c r="L74" s="70">
        <f t="shared" si="175"/>
        <v>0</v>
      </c>
      <c r="M74" s="70">
        <f t="shared" si="175"/>
        <v>0</v>
      </c>
      <c r="N74" s="70">
        <f t="shared" si="175"/>
        <v>0</v>
      </c>
    </row>
    <row r="75" spans="1:14" x14ac:dyDescent="0.25">
      <c r="A75" s="72" t="s">
        <v>131</v>
      </c>
      <c r="B75" s="70">
        <v>0.21386472074094864</v>
      </c>
      <c r="C75" s="70">
        <v>0.23554340396445658</v>
      </c>
      <c r="D75" s="70">
        <v>0.1890840652446675</v>
      </c>
      <c r="E75" s="70">
        <v>0.17171607877082881</v>
      </c>
      <c r="F75" s="70">
        <v>0.20332246229107215</v>
      </c>
      <c r="G75" s="70">
        <v>0.16486573232053064</v>
      </c>
      <c r="H75" s="70">
        <v>0.21255237430167598</v>
      </c>
      <c r="I75" s="70">
        <v>0.26388332398429359</v>
      </c>
      <c r="J75" s="73">
        <v>0.26388332398429359</v>
      </c>
      <c r="K75" s="73">
        <v>0.26388332398429359</v>
      </c>
      <c r="L75" s="73">
        <v>0.26388332398429359</v>
      </c>
      <c r="M75" s="73">
        <v>0.26388332398429359</v>
      </c>
      <c r="N75" s="73">
        <v>0.26388332398429359</v>
      </c>
    </row>
    <row r="76" spans="1:14" x14ac:dyDescent="0.25">
      <c r="A76" s="60" t="s">
        <v>135</v>
      </c>
      <c r="B76" s="68">
        <v>236</v>
      </c>
      <c r="C76" s="68">
        <v>232</v>
      </c>
      <c r="D76" s="68">
        <v>173</v>
      </c>
      <c r="E76" s="68">
        <v>240</v>
      </c>
      <c r="F76" s="68">
        <v>233</v>
      </c>
      <c r="G76" s="68">
        <v>139</v>
      </c>
      <c r="H76" s="68">
        <v>153</v>
      </c>
      <c r="I76" s="68">
        <v>197</v>
      </c>
      <c r="J76" s="69">
        <f>I76*(1+J77)</f>
        <v>197</v>
      </c>
      <c r="K76" s="69">
        <f t="shared" ref="K76:N76" si="176">J76*(1+K77)</f>
        <v>197</v>
      </c>
      <c r="L76" s="69">
        <f t="shared" si="176"/>
        <v>197</v>
      </c>
      <c r="M76" s="69">
        <f t="shared" si="176"/>
        <v>197</v>
      </c>
      <c r="N76" s="69">
        <f t="shared" si="176"/>
        <v>197</v>
      </c>
    </row>
    <row r="77" spans="1:14" x14ac:dyDescent="0.25">
      <c r="A77" s="72" t="s">
        <v>129</v>
      </c>
      <c r="B77" s="70" t="s">
        <v>225</v>
      </c>
      <c r="C77" s="70">
        <v>-1.6949152542372836E-2</v>
      </c>
      <c r="D77" s="70">
        <v>-0.25431034482758619</v>
      </c>
      <c r="E77" s="70">
        <v>0.38728323699421963</v>
      </c>
      <c r="F77" s="70">
        <v>-2.9166666666666674E-2</v>
      </c>
      <c r="G77" s="70">
        <v>-0.40343347639484983</v>
      </c>
      <c r="H77" s="70">
        <v>0.10071942446043169</v>
      </c>
      <c r="I77" s="70">
        <v>0.28758169934640532</v>
      </c>
      <c r="J77" s="74">
        <f>J74</f>
        <v>0</v>
      </c>
      <c r="K77" s="74">
        <f t="shared" ref="K77:N77" si="177">K74</f>
        <v>0</v>
      </c>
      <c r="L77" s="74">
        <f t="shared" si="177"/>
        <v>0</v>
      </c>
      <c r="M77" s="74">
        <f t="shared" si="177"/>
        <v>0</v>
      </c>
      <c r="N77" s="74">
        <f t="shared" si="177"/>
        <v>0</v>
      </c>
    </row>
    <row r="78" spans="1:14" x14ac:dyDescent="0.25">
      <c r="A78" s="72" t="s">
        <v>133</v>
      </c>
      <c r="B78" s="70">
        <v>3.3118158854897557E-2</v>
      </c>
      <c r="C78" s="70">
        <v>3.171565276828435E-2</v>
      </c>
      <c r="D78" s="70">
        <v>2.1706398996235884E-2</v>
      </c>
      <c r="E78" s="70">
        <v>2.5968405107119671E-2</v>
      </c>
      <c r="F78" s="70">
        <v>2.3746432939258051E-2</v>
      </c>
      <c r="G78" s="70">
        <v>1.4871081630469669E-2</v>
      </c>
      <c r="H78" s="70">
        <v>1.3355446927374302E-2</v>
      </c>
      <c r="I78" s="70">
        <v>1.5786521355877874E-2</v>
      </c>
      <c r="J78" s="70">
        <v>1.5786521355877874E-2</v>
      </c>
      <c r="K78" s="70">
        <v>1.5786521355877874E-2</v>
      </c>
      <c r="L78" s="70">
        <v>1.5786521355877874E-2</v>
      </c>
      <c r="M78" s="70">
        <v>1.5786521355877874E-2</v>
      </c>
      <c r="N78" s="70">
        <v>1.5786521355877874E-2</v>
      </c>
    </row>
    <row r="79" spans="1:14" x14ac:dyDescent="0.25">
      <c r="A79" s="75" t="s">
        <v>117</v>
      </c>
      <c r="B79" s="69">
        <v>498</v>
      </c>
      <c r="C79" s="69">
        <v>639</v>
      </c>
      <c r="D79" s="69">
        <v>709</v>
      </c>
      <c r="E79" s="69">
        <v>849</v>
      </c>
      <c r="F79" s="69">
        <v>929</v>
      </c>
      <c r="G79" s="69">
        <v>885</v>
      </c>
      <c r="H79" s="69">
        <v>982</v>
      </c>
      <c r="I79" s="69">
        <v>920</v>
      </c>
      <c r="J79" s="69">
        <f>I79*(1+J80)</f>
        <v>920</v>
      </c>
      <c r="K79" s="69">
        <f t="shared" ref="K79:M79" si="178">J79*(1+K80)</f>
        <v>920</v>
      </c>
      <c r="L79" s="69">
        <f t="shared" si="178"/>
        <v>920</v>
      </c>
      <c r="M79" s="69">
        <f t="shared" si="178"/>
        <v>920</v>
      </c>
      <c r="N79" s="69">
        <f>M79*(1+N80)</f>
        <v>920</v>
      </c>
    </row>
    <row r="80" spans="1:14" x14ac:dyDescent="0.25">
      <c r="A80" s="72" t="s">
        <v>129</v>
      </c>
      <c r="B80" s="70" t="s">
        <v>225</v>
      </c>
      <c r="C80" s="70">
        <v>0.2831325301204819</v>
      </c>
      <c r="D80" s="70">
        <v>0.10954616588419408</v>
      </c>
      <c r="E80" s="70">
        <v>0.19746121297602248</v>
      </c>
      <c r="F80" s="70">
        <v>9.4228504122497059E-2</v>
      </c>
      <c r="G80" s="70">
        <v>-4.7362755651237931E-2</v>
      </c>
      <c r="H80" s="70">
        <v>0.1096045197740112</v>
      </c>
      <c r="I80" s="70">
        <v>-6.313645621181263E-2</v>
      </c>
      <c r="J80" s="70">
        <f>J77</f>
        <v>0</v>
      </c>
      <c r="K80" s="70">
        <f t="shared" ref="K80:N80" si="179">K77</f>
        <v>0</v>
      </c>
      <c r="L80" s="70">
        <f t="shared" si="179"/>
        <v>0</v>
      </c>
      <c r="M80" s="70">
        <f t="shared" si="179"/>
        <v>0</v>
      </c>
      <c r="N80" s="70">
        <f t="shared" si="179"/>
        <v>0</v>
      </c>
    </row>
    <row r="81" spans="1:14" x14ac:dyDescent="0.25">
      <c r="A81" s="72" t="s">
        <v>133</v>
      </c>
      <c r="B81" s="70">
        <v>6.9884928431097393E-2</v>
      </c>
      <c r="C81" s="70">
        <v>8.7354750512645254E-2</v>
      </c>
      <c r="D81" s="70">
        <v>8.8958594730238399E-2</v>
      </c>
      <c r="E81" s="70">
        <v>9.1863233066435832E-2</v>
      </c>
      <c r="F81" s="70">
        <v>9.4679983693436609E-2</v>
      </c>
      <c r="G81" s="70">
        <v>9.4682785920616241E-2</v>
      </c>
      <c r="H81" s="70">
        <v>8.5719273743016758E-2</v>
      </c>
      <c r="I81" s="70">
        <v>7.37238560782114E-2</v>
      </c>
      <c r="J81" s="70">
        <v>6.8675937327610778E-2</v>
      </c>
      <c r="K81" s="70">
        <v>6.3973652745760529E-2</v>
      </c>
      <c r="L81" s="70">
        <v>5.9593336543944567E-2</v>
      </c>
      <c r="M81" s="70">
        <v>5.5512943344870752E-2</v>
      </c>
      <c r="N81" s="70">
        <v>5.1711937232082492E-2</v>
      </c>
    </row>
    <row r="82" spans="1:14" x14ac:dyDescent="0.25">
      <c r="A82" s="76" t="s">
        <v>102</v>
      </c>
      <c r="B82" s="76"/>
      <c r="C82" s="76"/>
      <c r="D82" s="76"/>
      <c r="E82" s="76"/>
      <c r="F82" s="76"/>
      <c r="G82" s="76"/>
      <c r="H82" s="76"/>
      <c r="I82" s="76"/>
      <c r="J82" s="77"/>
      <c r="K82" s="77"/>
      <c r="L82" s="77"/>
      <c r="M82" s="77"/>
      <c r="N82" s="77"/>
    </row>
    <row r="83" spans="1:14" x14ac:dyDescent="0.25">
      <c r="A83" s="78" t="s">
        <v>136</v>
      </c>
      <c r="B83" s="68">
        <v>3067</v>
      </c>
      <c r="C83" s="68">
        <v>3785</v>
      </c>
      <c r="D83" s="68">
        <v>4237</v>
      </c>
      <c r="E83" s="68">
        <v>5134</v>
      </c>
      <c r="F83" s="68">
        <v>6208</v>
      </c>
      <c r="G83" s="68">
        <v>6679</v>
      </c>
      <c r="H83" s="68">
        <v>8290</v>
      </c>
      <c r="I83" s="68">
        <v>7547</v>
      </c>
      <c r="J83" s="69">
        <f>I83*(1+J84)</f>
        <v>7547</v>
      </c>
      <c r="K83" s="69">
        <f t="shared" ref="K83:N83" si="180">J83*(1+K84)</f>
        <v>7547</v>
      </c>
      <c r="L83" s="69">
        <f t="shared" si="180"/>
        <v>7547</v>
      </c>
      <c r="M83" s="69">
        <f t="shared" si="180"/>
        <v>7547</v>
      </c>
      <c r="N83" s="69">
        <f t="shared" si="180"/>
        <v>7547</v>
      </c>
    </row>
    <row r="84" spans="1:14" x14ac:dyDescent="0.25">
      <c r="A84" s="79" t="s">
        <v>129</v>
      </c>
      <c r="B84" s="80" t="s">
        <v>225</v>
      </c>
      <c r="C84" s="80">
        <v>0.23410498858819695</v>
      </c>
      <c r="D84" s="80">
        <v>0.11941875825627468</v>
      </c>
      <c r="E84" s="80">
        <v>0.21170639603493036</v>
      </c>
      <c r="F84" s="80">
        <v>0.20919361121932223</v>
      </c>
      <c r="G84" s="80">
        <v>7.5869845360824639E-2</v>
      </c>
      <c r="H84" s="80">
        <v>0.24120377301991325</v>
      </c>
      <c r="I84" s="80">
        <v>-8.9626055488540413E-2</v>
      </c>
      <c r="J84" s="74">
        <f>J53</f>
        <v>0</v>
      </c>
      <c r="K84" s="74">
        <f t="shared" ref="K84:N84" si="181">J84</f>
        <v>0</v>
      </c>
      <c r="L84" s="74">
        <f t="shared" si="181"/>
        <v>0</v>
      </c>
      <c r="M84" s="74">
        <f t="shared" si="181"/>
        <v>0</v>
      </c>
      <c r="N84" s="74">
        <f t="shared" si="181"/>
        <v>0</v>
      </c>
    </row>
    <row r="85" spans="1:14" x14ac:dyDescent="0.25">
      <c r="A85" s="81" t="s">
        <v>113</v>
      </c>
      <c r="B85" s="61">
        <v>2016</v>
      </c>
      <c r="C85" s="61">
        <v>2599</v>
      </c>
      <c r="D85" s="61">
        <v>2920</v>
      </c>
      <c r="E85" s="61">
        <v>3496</v>
      </c>
      <c r="F85" s="61">
        <v>4262</v>
      </c>
      <c r="G85" s="61">
        <v>4635</v>
      </c>
      <c r="H85" s="61">
        <v>5748</v>
      </c>
      <c r="I85" s="61">
        <v>5416</v>
      </c>
      <c r="J85" s="61">
        <f>I85*(1+J86)</f>
        <v>5416</v>
      </c>
      <c r="K85" s="61">
        <f t="shared" ref="K85:N85" si="182">J85*(1+K86)</f>
        <v>5416</v>
      </c>
      <c r="L85" s="61">
        <f t="shared" si="182"/>
        <v>5416</v>
      </c>
      <c r="M85" s="61">
        <f t="shared" si="182"/>
        <v>5416</v>
      </c>
      <c r="N85" s="61">
        <f t="shared" si="182"/>
        <v>5416</v>
      </c>
    </row>
    <row r="86" spans="1:14" x14ac:dyDescent="0.25">
      <c r="A86" s="79" t="s">
        <v>129</v>
      </c>
      <c r="B86" s="80" t="s">
        <v>225</v>
      </c>
      <c r="C86" s="80">
        <v>0.28918650793650791</v>
      </c>
      <c r="D86" s="80">
        <v>0.12350904193920731</v>
      </c>
      <c r="E86" s="80">
        <v>0.19726027397260282</v>
      </c>
      <c r="F86" s="80">
        <v>0.21910755148741412</v>
      </c>
      <c r="G86" s="80">
        <v>8.7517597372125833E-2</v>
      </c>
      <c r="H86" s="80">
        <v>0.24012944983818763</v>
      </c>
      <c r="I86" s="80">
        <v>-5.7759220598469052E-2</v>
      </c>
      <c r="J86" s="71">
        <f>J84</f>
        <v>0</v>
      </c>
      <c r="K86" s="71">
        <f t="shared" ref="K86:N86" si="183">K84</f>
        <v>0</v>
      </c>
      <c r="L86" s="71">
        <f t="shared" si="183"/>
        <v>0</v>
      </c>
      <c r="M86" s="71">
        <f t="shared" si="183"/>
        <v>0</v>
      </c>
      <c r="N86" s="71">
        <f t="shared" si="183"/>
        <v>0</v>
      </c>
    </row>
    <row r="87" spans="1:14" x14ac:dyDescent="0.25">
      <c r="A87" s="79" t="s">
        <v>137</v>
      </c>
      <c r="B87" s="80">
        <v>0.28000000000000003</v>
      </c>
      <c r="C87" s="80">
        <v>0.33</v>
      </c>
      <c r="D87" s="80">
        <v>0.18</v>
      </c>
      <c r="E87" s="80">
        <v>0.16</v>
      </c>
      <c r="F87" s="80">
        <v>0.25</v>
      </c>
      <c r="G87" s="80">
        <v>0.12</v>
      </c>
      <c r="H87" s="80">
        <v>0.19</v>
      </c>
      <c r="I87" s="80">
        <v>-0.1</v>
      </c>
      <c r="J87" s="71">
        <f>J86</f>
        <v>0</v>
      </c>
      <c r="K87" s="71">
        <f t="shared" ref="K87:N87" si="184">K86</f>
        <v>0</v>
      </c>
      <c r="L87" s="71">
        <f t="shared" si="184"/>
        <v>0</v>
      </c>
      <c r="M87" s="71">
        <f t="shared" si="184"/>
        <v>0</v>
      </c>
      <c r="N87" s="71">
        <f t="shared" si="184"/>
        <v>0</v>
      </c>
    </row>
    <row r="88" spans="1:14" x14ac:dyDescent="0.25">
      <c r="A88" s="79" t="s">
        <v>138</v>
      </c>
      <c r="B88" s="80" t="s">
        <v>225</v>
      </c>
      <c r="C88" s="80">
        <v>0.87632275132275117</v>
      </c>
      <c r="D88" s="80">
        <v>0.68616134410670726</v>
      </c>
      <c r="E88" s="80">
        <v>1.2328767123287676</v>
      </c>
      <c r="F88" s="80">
        <v>0.87643020594965648</v>
      </c>
      <c r="G88" s="80">
        <v>0.72931331143438194</v>
      </c>
      <c r="H88" s="80">
        <v>1.2638392096746718</v>
      </c>
      <c r="I88" s="80">
        <v>0.57759220598469052</v>
      </c>
      <c r="J88" s="71">
        <v>0</v>
      </c>
      <c r="K88" s="71">
        <v>0</v>
      </c>
      <c r="L88" s="71">
        <v>0</v>
      </c>
      <c r="M88" s="71">
        <v>0</v>
      </c>
      <c r="N88" s="71">
        <v>0</v>
      </c>
    </row>
    <row r="89" spans="1:14" x14ac:dyDescent="0.25">
      <c r="A89" s="81" t="s">
        <v>114</v>
      </c>
      <c r="B89" s="68">
        <v>925</v>
      </c>
      <c r="C89" s="68">
        <v>1055</v>
      </c>
      <c r="D89" s="68">
        <v>1188</v>
      </c>
      <c r="E89" s="68">
        <v>1508</v>
      </c>
      <c r="F89" s="68">
        <v>1808</v>
      </c>
      <c r="G89" s="68">
        <v>1896</v>
      </c>
      <c r="H89" s="68">
        <v>2347</v>
      </c>
      <c r="I89" s="68">
        <v>1938</v>
      </c>
      <c r="J89" s="69">
        <f>I89*(1+J90)</f>
        <v>1938</v>
      </c>
      <c r="K89" s="69">
        <f t="shared" ref="K89:N89" si="185">J89*(1+K90)</f>
        <v>1938</v>
      </c>
      <c r="L89" s="69">
        <f t="shared" si="185"/>
        <v>1938</v>
      </c>
      <c r="M89" s="69">
        <f t="shared" si="185"/>
        <v>1938</v>
      </c>
      <c r="N89" s="69">
        <f t="shared" si="185"/>
        <v>1938</v>
      </c>
    </row>
    <row r="90" spans="1:14" x14ac:dyDescent="0.25">
      <c r="A90" s="79" t="s">
        <v>129</v>
      </c>
      <c r="B90" s="80" t="s">
        <v>225</v>
      </c>
      <c r="C90" s="80">
        <v>0.14054054054054044</v>
      </c>
      <c r="D90" s="80">
        <v>0.12606635071090055</v>
      </c>
      <c r="E90" s="80">
        <v>0.26936026936026947</v>
      </c>
      <c r="F90" s="80">
        <v>0.19893899204244025</v>
      </c>
      <c r="G90" s="80">
        <v>4.8672566371681381E-2</v>
      </c>
      <c r="H90" s="80">
        <v>0.2378691983122363</v>
      </c>
      <c r="I90" s="80">
        <v>-0.17426501917341286</v>
      </c>
      <c r="J90" s="71">
        <f>J86</f>
        <v>0</v>
      </c>
      <c r="K90" s="71">
        <f t="shared" ref="K90:N90" si="186">K86</f>
        <v>0</v>
      </c>
      <c r="L90" s="71">
        <f t="shared" si="186"/>
        <v>0</v>
      </c>
      <c r="M90" s="71">
        <f t="shared" si="186"/>
        <v>0</v>
      </c>
      <c r="N90" s="71">
        <f t="shared" si="186"/>
        <v>0</v>
      </c>
    </row>
    <row r="91" spans="1:14" x14ac:dyDescent="0.25">
      <c r="A91" s="79" t="s">
        <v>137</v>
      </c>
      <c r="B91" s="80">
        <v>7.0000000000000007E-2</v>
      </c>
      <c r="C91" s="80">
        <v>0.17</v>
      </c>
      <c r="D91" s="80">
        <v>0.18</v>
      </c>
      <c r="E91" s="80">
        <v>0.23</v>
      </c>
      <c r="F91" s="80">
        <v>0.23</v>
      </c>
      <c r="G91" s="80">
        <v>0.08</v>
      </c>
      <c r="H91" s="80">
        <v>0.19</v>
      </c>
      <c r="I91" s="80">
        <v>-0.21</v>
      </c>
      <c r="J91" s="71">
        <f>J90</f>
        <v>0</v>
      </c>
      <c r="K91" s="71">
        <f t="shared" ref="K91:N91" si="187">K90</f>
        <v>0</v>
      </c>
      <c r="L91" s="71">
        <f t="shared" si="187"/>
        <v>0</v>
      </c>
      <c r="M91" s="71">
        <f t="shared" si="187"/>
        <v>0</v>
      </c>
      <c r="N91" s="71">
        <f t="shared" si="187"/>
        <v>0</v>
      </c>
    </row>
    <row r="92" spans="1:14" x14ac:dyDescent="0.25">
      <c r="A92" s="79" t="s">
        <v>138</v>
      </c>
      <c r="B92" s="80" t="s">
        <v>225</v>
      </c>
      <c r="C92" s="80">
        <v>0.82670906200317895</v>
      </c>
      <c r="D92" s="80">
        <v>0.7003686150605587</v>
      </c>
      <c r="E92" s="80">
        <v>1.1711316059142149</v>
      </c>
      <c r="F92" s="80">
        <v>0.86495213931495762</v>
      </c>
      <c r="G92" s="80">
        <v>0.60840707964601726</v>
      </c>
      <c r="H92" s="80">
        <v>1.2519431490117701</v>
      </c>
      <c r="I92" s="80">
        <v>0.82983342463529941</v>
      </c>
      <c r="J92" s="71">
        <v>0</v>
      </c>
      <c r="K92" s="71">
        <v>0</v>
      </c>
      <c r="L92" s="71">
        <v>0</v>
      </c>
      <c r="M92" s="71">
        <v>0</v>
      </c>
      <c r="N92" s="71">
        <v>0</v>
      </c>
    </row>
    <row r="93" spans="1:14" x14ac:dyDescent="0.25">
      <c r="A93" s="81" t="s">
        <v>115</v>
      </c>
      <c r="B93" s="68">
        <v>126</v>
      </c>
      <c r="C93" s="68">
        <v>131</v>
      </c>
      <c r="D93" s="68">
        <v>129</v>
      </c>
      <c r="E93" s="68">
        <v>130</v>
      </c>
      <c r="F93" s="68">
        <v>138</v>
      </c>
      <c r="G93" s="68">
        <v>148</v>
      </c>
      <c r="H93" s="68">
        <v>195</v>
      </c>
      <c r="I93" s="68">
        <v>193</v>
      </c>
      <c r="J93" s="69">
        <f>I93*(1+J94)</f>
        <v>193</v>
      </c>
      <c r="K93" s="69">
        <f t="shared" ref="K93:N93" si="188">J93*(1+K94)</f>
        <v>193</v>
      </c>
      <c r="L93" s="69">
        <f t="shared" si="188"/>
        <v>193</v>
      </c>
      <c r="M93" s="69">
        <f t="shared" si="188"/>
        <v>193</v>
      </c>
      <c r="N93" s="69">
        <f t="shared" si="188"/>
        <v>193</v>
      </c>
    </row>
    <row r="94" spans="1:14" x14ac:dyDescent="0.25">
      <c r="A94" s="79" t="s">
        <v>129</v>
      </c>
      <c r="B94" s="80" t="s">
        <v>225</v>
      </c>
      <c r="C94" s="80">
        <v>3.9682539682539764E-2</v>
      </c>
      <c r="D94" s="80">
        <v>-1.5267175572519109E-2</v>
      </c>
      <c r="E94" s="80">
        <v>7.7519379844961378E-3</v>
      </c>
      <c r="F94" s="80">
        <v>6.1538461538461542E-2</v>
      </c>
      <c r="G94" s="80">
        <v>7.2463768115942129E-2</v>
      </c>
      <c r="H94" s="80">
        <v>0.31756756756756754</v>
      </c>
      <c r="I94" s="80">
        <v>-1.025641025641022E-2</v>
      </c>
      <c r="J94" s="71">
        <f>J90</f>
        <v>0</v>
      </c>
      <c r="K94" s="71">
        <f t="shared" ref="K94:N94" si="189">K90</f>
        <v>0</v>
      </c>
      <c r="L94" s="71">
        <f t="shared" si="189"/>
        <v>0</v>
      </c>
      <c r="M94" s="71">
        <f t="shared" si="189"/>
        <v>0</v>
      </c>
      <c r="N94" s="71">
        <f t="shared" si="189"/>
        <v>0</v>
      </c>
    </row>
    <row r="95" spans="1:14" x14ac:dyDescent="0.25">
      <c r="A95" s="79" t="s">
        <v>137</v>
      </c>
      <c r="B95" s="80">
        <v>0.01</v>
      </c>
      <c r="C95" s="80">
        <v>7.0000000000000007E-2</v>
      </c>
      <c r="D95" s="80">
        <v>0.03</v>
      </c>
      <c r="E95" s="80">
        <v>-0.01</v>
      </c>
      <c r="F95" s="80">
        <v>0.08</v>
      </c>
      <c r="G95" s="80">
        <v>0.11</v>
      </c>
      <c r="H95" s="80">
        <v>0.26</v>
      </c>
      <c r="I95" s="80">
        <v>-0.06</v>
      </c>
      <c r="J95" s="71">
        <f>J94</f>
        <v>0</v>
      </c>
      <c r="K95" s="71">
        <f t="shared" ref="K95:N95" si="190">K94</f>
        <v>0</v>
      </c>
      <c r="L95" s="71">
        <f t="shared" si="190"/>
        <v>0</v>
      </c>
      <c r="M95" s="71">
        <f t="shared" si="190"/>
        <v>0</v>
      </c>
      <c r="N95" s="71">
        <f t="shared" si="190"/>
        <v>0</v>
      </c>
    </row>
    <row r="96" spans="1:14" x14ac:dyDescent="0.25">
      <c r="A96" s="79" t="s">
        <v>138</v>
      </c>
      <c r="B96" s="80" t="s">
        <v>225</v>
      </c>
      <c r="C96" s="80">
        <v>0.56689342403628229</v>
      </c>
      <c r="D96" s="80">
        <v>-0.50890585241730368</v>
      </c>
      <c r="E96" s="80">
        <v>-0.77519379844961378</v>
      </c>
      <c r="F96" s="80">
        <v>0.76923076923076927</v>
      </c>
      <c r="G96" s="80">
        <v>0.65876152832674661</v>
      </c>
      <c r="H96" s="80">
        <v>1.2214137214137213</v>
      </c>
      <c r="I96" s="80">
        <v>0.17094017094017033</v>
      </c>
      <c r="J96" s="71">
        <v>0</v>
      </c>
      <c r="K96" s="71">
        <v>0</v>
      </c>
      <c r="L96" s="71">
        <v>0</v>
      </c>
      <c r="M96" s="71">
        <v>0</v>
      </c>
      <c r="N96" s="71">
        <v>0</v>
      </c>
    </row>
    <row r="97" spans="1:14" x14ac:dyDescent="0.25">
      <c r="A97" s="78" t="s">
        <v>130</v>
      </c>
      <c r="B97" s="68">
        <v>1039</v>
      </c>
      <c r="C97" s="68">
        <v>1420</v>
      </c>
      <c r="D97" s="68">
        <v>1561</v>
      </c>
      <c r="E97" s="68">
        <v>1863</v>
      </c>
      <c r="F97" s="68">
        <v>2426</v>
      </c>
      <c r="G97" s="68">
        <v>2534</v>
      </c>
      <c r="H97" s="68">
        <v>3289</v>
      </c>
      <c r="I97" s="68">
        <v>2406</v>
      </c>
      <c r="J97" s="69">
        <f>I97*(1+J98)</f>
        <v>2406</v>
      </c>
      <c r="K97" s="69">
        <f t="shared" ref="K97:N97" si="191">J97*(1+K98)</f>
        <v>2406</v>
      </c>
      <c r="L97" s="69">
        <f t="shared" si="191"/>
        <v>2406</v>
      </c>
      <c r="M97" s="69">
        <f t="shared" si="191"/>
        <v>2406</v>
      </c>
      <c r="N97" s="69">
        <f t="shared" si="191"/>
        <v>2406</v>
      </c>
    </row>
    <row r="98" spans="1:14" x14ac:dyDescent="0.25">
      <c r="A98" s="82" t="s">
        <v>129</v>
      </c>
      <c r="B98" s="80" t="s">
        <v>225</v>
      </c>
      <c r="C98" s="80">
        <v>0.36669874879692022</v>
      </c>
      <c r="D98" s="80">
        <v>9.9295774647887303E-2</v>
      </c>
      <c r="E98" s="80">
        <v>0.19346572709801402</v>
      </c>
      <c r="F98" s="80">
        <v>0.3022007514761138</v>
      </c>
      <c r="G98" s="80">
        <v>4.4517724649629109E-2</v>
      </c>
      <c r="H98" s="80">
        <v>0.29794790844514596</v>
      </c>
      <c r="I98" s="80">
        <v>-0.26847065977500761</v>
      </c>
      <c r="J98" s="74">
        <f>J95</f>
        <v>0</v>
      </c>
      <c r="K98" s="74">
        <f t="shared" ref="K98:N98" si="192">K95</f>
        <v>0</v>
      </c>
      <c r="L98" s="74">
        <f t="shared" si="192"/>
        <v>0</v>
      </c>
      <c r="M98" s="74">
        <f t="shared" si="192"/>
        <v>0</v>
      </c>
      <c r="N98" s="74">
        <f t="shared" si="192"/>
        <v>0</v>
      </c>
    </row>
    <row r="99" spans="1:14" x14ac:dyDescent="0.25">
      <c r="A99" s="82" t="s">
        <v>131</v>
      </c>
      <c r="B99" s="80">
        <v>0.33876752526899251</v>
      </c>
      <c r="C99" s="80">
        <v>0.37516512549537651</v>
      </c>
      <c r="D99" s="80">
        <v>0.36842105263157893</v>
      </c>
      <c r="E99" s="80">
        <v>0.36287495130502534</v>
      </c>
      <c r="F99" s="80">
        <v>0.3907860824742268</v>
      </c>
      <c r="G99" s="80">
        <v>0.37939811349004343</v>
      </c>
      <c r="H99" s="80">
        <v>0.39674306393244874</v>
      </c>
      <c r="I99" s="80">
        <v>0.31880217304889358</v>
      </c>
      <c r="J99" s="71">
        <v>0.31880217304889358</v>
      </c>
      <c r="K99" s="71">
        <v>0.31880217304889358</v>
      </c>
      <c r="L99" s="71">
        <v>0.31880217304889358</v>
      </c>
      <c r="M99" s="71">
        <v>0.31880217304889358</v>
      </c>
      <c r="N99" s="71">
        <v>0.31880217304889358</v>
      </c>
    </row>
    <row r="100" spans="1:14" x14ac:dyDescent="0.25">
      <c r="A100" s="78" t="s">
        <v>132</v>
      </c>
      <c r="B100" s="68">
        <v>46</v>
      </c>
      <c r="C100" s="68">
        <v>48</v>
      </c>
      <c r="D100" s="68">
        <v>54</v>
      </c>
      <c r="E100" s="68">
        <v>56</v>
      </c>
      <c r="F100" s="68">
        <v>50</v>
      </c>
      <c r="G100" s="68">
        <v>44</v>
      </c>
      <c r="H100" s="68">
        <v>46</v>
      </c>
      <c r="I100" s="68">
        <v>41</v>
      </c>
      <c r="J100" s="69">
        <f>I100*(1+J101)</f>
        <v>41</v>
      </c>
      <c r="K100" s="69">
        <f t="shared" ref="K100:N100" si="193">J100*(1+K101)</f>
        <v>41</v>
      </c>
      <c r="L100" s="69">
        <f t="shared" si="193"/>
        <v>41</v>
      </c>
      <c r="M100" s="69">
        <f t="shared" si="193"/>
        <v>41</v>
      </c>
      <c r="N100" s="69">
        <f t="shared" si="193"/>
        <v>41</v>
      </c>
    </row>
    <row r="101" spans="1:14" x14ac:dyDescent="0.25">
      <c r="A101" s="82" t="s">
        <v>129</v>
      </c>
      <c r="B101" s="80" t="s">
        <v>225</v>
      </c>
      <c r="C101" s="80">
        <v>4.3478260869565188E-2</v>
      </c>
      <c r="D101" s="80">
        <v>0.125</v>
      </c>
      <c r="E101" s="80">
        <v>3.7037037037036979E-2</v>
      </c>
      <c r="F101" s="80">
        <v>-0.1071428571428571</v>
      </c>
      <c r="G101" s="80">
        <v>-0.12</v>
      </c>
      <c r="H101" s="80">
        <v>4.5454545454545414E-2</v>
      </c>
      <c r="I101" s="80">
        <v>-0.10869565217391308</v>
      </c>
      <c r="J101" s="71">
        <f>J98</f>
        <v>0</v>
      </c>
      <c r="K101" s="71">
        <f t="shared" ref="K101:N101" si="194">K98</f>
        <v>0</v>
      </c>
      <c r="L101" s="71">
        <f t="shared" si="194"/>
        <v>0</v>
      </c>
      <c r="M101" s="71">
        <f t="shared" si="194"/>
        <v>0</v>
      </c>
      <c r="N101" s="71">
        <f t="shared" si="194"/>
        <v>0</v>
      </c>
    </row>
    <row r="102" spans="1:14" x14ac:dyDescent="0.25">
      <c r="A102" s="82" t="s">
        <v>133</v>
      </c>
      <c r="B102" s="80">
        <v>1.4998369742419302E-2</v>
      </c>
      <c r="C102" s="80">
        <v>1.2681638044914135E-2</v>
      </c>
      <c r="D102" s="80">
        <v>1.2744866650932263E-2</v>
      </c>
      <c r="E102" s="80">
        <v>1.090767432800935E-2</v>
      </c>
      <c r="F102" s="80">
        <v>8.0541237113402053E-3</v>
      </c>
      <c r="G102" s="80">
        <v>6.5878125467884411E-3</v>
      </c>
      <c r="H102" s="80">
        <v>5.5488540410132689E-3</v>
      </c>
      <c r="I102" s="80">
        <v>5.4326222340002651E-3</v>
      </c>
      <c r="J102" s="71">
        <v>5.4326222340002651E-3</v>
      </c>
      <c r="K102" s="71">
        <v>5.4326222340002651E-3</v>
      </c>
      <c r="L102" s="71">
        <v>5.4326222340002651E-3</v>
      </c>
      <c r="M102" s="71">
        <v>5.4326222340002651E-3</v>
      </c>
      <c r="N102" s="71">
        <v>5.4326222340002651E-3</v>
      </c>
    </row>
    <row r="103" spans="1:14" x14ac:dyDescent="0.25">
      <c r="A103" s="82" t="s">
        <v>140</v>
      </c>
      <c r="B103" s="80">
        <v>0.18110236220472442</v>
      </c>
      <c r="C103" s="80">
        <v>0.20512820512820512</v>
      </c>
      <c r="D103" s="80">
        <v>0.24</v>
      </c>
      <c r="E103" s="80">
        <v>0.21875</v>
      </c>
      <c r="F103" s="80">
        <v>0.2109704641350211</v>
      </c>
      <c r="G103" s="80">
        <v>0.20560747663551401</v>
      </c>
      <c r="H103" s="80">
        <v>0.15972222222222221</v>
      </c>
      <c r="I103" s="80">
        <v>0.13531353135313531</v>
      </c>
      <c r="J103" s="80">
        <v>0.13347862954029258</v>
      </c>
      <c r="K103" s="80">
        <v>0.13166860967849428</v>
      </c>
      <c r="L103" s="80">
        <v>0.12988313435922974</v>
      </c>
      <c r="M103" s="80">
        <v>0.12812187074937328</v>
      </c>
      <c r="N103" s="80">
        <v>0.12638449052914022</v>
      </c>
    </row>
    <row r="104" spans="1:14" x14ac:dyDescent="0.25">
      <c r="A104" s="78" t="s">
        <v>134</v>
      </c>
      <c r="B104" s="68">
        <v>993</v>
      </c>
      <c r="C104" s="68">
        <v>1372</v>
      </c>
      <c r="D104" s="68">
        <v>1507</v>
      </c>
      <c r="E104" s="68">
        <v>1807</v>
      </c>
      <c r="F104" s="68">
        <v>2376</v>
      </c>
      <c r="G104" s="68">
        <v>2490</v>
      </c>
      <c r="H104" s="68">
        <v>3243</v>
      </c>
      <c r="I104" s="68">
        <v>2365</v>
      </c>
      <c r="J104" s="69">
        <f>I104*(1+J105)</f>
        <v>2365</v>
      </c>
      <c r="K104" s="69">
        <f t="shared" ref="K104:N104" si="195">J104*(1+K105)</f>
        <v>2365</v>
      </c>
      <c r="L104" s="69">
        <f t="shared" si="195"/>
        <v>2365</v>
      </c>
      <c r="M104" s="69">
        <f t="shared" si="195"/>
        <v>2365</v>
      </c>
      <c r="N104" s="69">
        <f t="shared" si="195"/>
        <v>2365</v>
      </c>
    </row>
    <row r="105" spans="1:14" x14ac:dyDescent="0.25">
      <c r="A105" s="82" t="s">
        <v>129</v>
      </c>
      <c r="B105" s="80" t="s">
        <v>225</v>
      </c>
      <c r="C105" s="80">
        <v>0.38167170191339372</v>
      </c>
      <c r="D105" s="80">
        <v>9.8396501457725938E-2</v>
      </c>
      <c r="E105" s="80">
        <v>0.19907100199071004</v>
      </c>
      <c r="F105" s="80">
        <v>0.31488655229662421</v>
      </c>
      <c r="G105" s="80">
        <v>4.7979797979798011E-2</v>
      </c>
      <c r="H105" s="80">
        <v>0.30240963855421676</v>
      </c>
      <c r="I105" s="80">
        <v>-0.27073697193956214</v>
      </c>
      <c r="J105" s="74">
        <f>J101</f>
        <v>0</v>
      </c>
      <c r="K105" s="74">
        <f t="shared" ref="K105:N105" si="196">K101</f>
        <v>0</v>
      </c>
      <c r="L105" s="74">
        <f t="shared" si="196"/>
        <v>0</v>
      </c>
      <c r="M105" s="74">
        <f t="shared" si="196"/>
        <v>0</v>
      </c>
      <c r="N105" s="74">
        <f t="shared" si="196"/>
        <v>0</v>
      </c>
    </row>
    <row r="106" spans="1:14" x14ac:dyDescent="0.25">
      <c r="A106" s="82" t="s">
        <v>131</v>
      </c>
      <c r="B106" s="80">
        <v>0.3237691555265732</v>
      </c>
      <c r="C106" s="80">
        <v>0.36248348745046233</v>
      </c>
      <c r="D106" s="80">
        <v>0.35567618598064671</v>
      </c>
      <c r="E106" s="80">
        <v>0.35196727697701596</v>
      </c>
      <c r="F106" s="80">
        <v>0.38273195876288657</v>
      </c>
      <c r="G106" s="80">
        <v>0.37281030094325496</v>
      </c>
      <c r="H106" s="80">
        <v>0.39119420989143544</v>
      </c>
      <c r="I106" s="80">
        <v>0.31336955081489332</v>
      </c>
      <c r="J106" s="71">
        <v>0.31336955081489332</v>
      </c>
      <c r="K106" s="71">
        <v>0.31336955081489332</v>
      </c>
      <c r="L106" s="71">
        <v>0.31336955081489332</v>
      </c>
      <c r="M106" s="71">
        <v>0.31336955081489332</v>
      </c>
      <c r="N106" s="71">
        <v>0.31336955081489332</v>
      </c>
    </row>
    <row r="107" spans="1:14" x14ac:dyDescent="0.25">
      <c r="A107" s="78" t="s">
        <v>135</v>
      </c>
      <c r="B107" s="68">
        <v>69</v>
      </c>
      <c r="C107" s="68">
        <v>44</v>
      </c>
      <c r="D107" s="68">
        <v>51</v>
      </c>
      <c r="E107" s="68">
        <v>76</v>
      </c>
      <c r="F107" s="68">
        <v>49</v>
      </c>
      <c r="G107" s="68">
        <v>28</v>
      </c>
      <c r="H107" s="68">
        <v>94</v>
      </c>
      <c r="I107" s="68">
        <v>78</v>
      </c>
      <c r="J107" s="69">
        <f>I107*(1+J108)</f>
        <v>78</v>
      </c>
      <c r="K107" s="69">
        <f t="shared" ref="K107:N107" si="197">J107*(1+K108)</f>
        <v>78</v>
      </c>
      <c r="L107" s="69">
        <f t="shared" si="197"/>
        <v>78</v>
      </c>
      <c r="M107" s="69">
        <f t="shared" si="197"/>
        <v>78</v>
      </c>
      <c r="N107" s="69">
        <f t="shared" si="197"/>
        <v>78</v>
      </c>
    </row>
    <row r="108" spans="1:14" x14ac:dyDescent="0.25">
      <c r="A108" s="82" t="s">
        <v>129</v>
      </c>
      <c r="B108" s="80" t="s">
        <v>225</v>
      </c>
      <c r="C108" s="80">
        <v>-0.3623188405797102</v>
      </c>
      <c r="D108" s="80">
        <v>0.15909090909090917</v>
      </c>
      <c r="E108" s="80">
        <v>0.49019607843137258</v>
      </c>
      <c r="F108" s="80">
        <v>-0.35526315789473684</v>
      </c>
      <c r="G108" s="80">
        <v>-0.4285714285714286</v>
      </c>
      <c r="H108" s="80">
        <v>2.3571428571428572</v>
      </c>
      <c r="I108" s="80">
        <v>-0.17021276595744683</v>
      </c>
      <c r="J108" s="74">
        <f>J105</f>
        <v>0</v>
      </c>
      <c r="K108" s="74">
        <f t="shared" ref="K108:N108" si="198">K105</f>
        <v>0</v>
      </c>
      <c r="L108" s="74">
        <f t="shared" si="198"/>
        <v>0</v>
      </c>
      <c r="M108" s="74">
        <f t="shared" si="198"/>
        <v>0</v>
      </c>
      <c r="N108" s="74">
        <f t="shared" si="198"/>
        <v>0</v>
      </c>
    </row>
    <row r="109" spans="1:14" x14ac:dyDescent="0.25">
      <c r="A109" s="82" t="s">
        <v>133</v>
      </c>
      <c r="B109" s="80">
        <v>2.2497554613628953E-2</v>
      </c>
      <c r="C109" s="80">
        <v>1.1624834874504624E-2</v>
      </c>
      <c r="D109" s="80">
        <v>1.2036818503658248E-2</v>
      </c>
      <c r="E109" s="80">
        <v>1.4803272302298403E-2</v>
      </c>
      <c r="F109" s="80">
        <v>7.8930412371134018E-3</v>
      </c>
      <c r="G109" s="80">
        <v>4.1922443479562805E-3</v>
      </c>
      <c r="H109" s="80">
        <v>1.1338962605548853E-2</v>
      </c>
      <c r="I109" s="80">
        <v>1.0335232542732211E-2</v>
      </c>
      <c r="J109" s="71">
        <v>1.0335232542732211E-2</v>
      </c>
      <c r="K109" s="71">
        <v>1.0335232542732211E-2</v>
      </c>
      <c r="L109" s="71">
        <v>1.0335232542732211E-2</v>
      </c>
      <c r="M109" s="71">
        <v>1.0335232542732211E-2</v>
      </c>
      <c r="N109" s="71">
        <v>1.0335232542732211E-2</v>
      </c>
    </row>
    <row r="110" spans="1:14" x14ac:dyDescent="0.25">
      <c r="A110" s="75" t="s">
        <v>117</v>
      </c>
      <c r="B110" s="83">
        <v>254</v>
      </c>
      <c r="C110" s="83">
        <v>234</v>
      </c>
      <c r="D110" s="83">
        <v>225</v>
      </c>
      <c r="E110" s="83">
        <v>256</v>
      </c>
      <c r="F110" s="83">
        <v>237</v>
      </c>
      <c r="G110" s="83">
        <v>214</v>
      </c>
      <c r="H110" s="83">
        <v>288</v>
      </c>
      <c r="I110" s="83">
        <v>303</v>
      </c>
      <c r="J110" s="69">
        <f>I110*(1+J111)</f>
        <v>303</v>
      </c>
      <c r="K110" s="69">
        <f t="shared" ref="K110:M110" si="199">J110*(1+K111)</f>
        <v>303</v>
      </c>
      <c r="L110" s="69">
        <f t="shared" si="199"/>
        <v>303</v>
      </c>
      <c r="M110" s="69">
        <f t="shared" si="199"/>
        <v>303</v>
      </c>
      <c r="N110" s="69">
        <f>M110*(1+N111)</f>
        <v>303</v>
      </c>
    </row>
    <row r="111" spans="1:14" x14ac:dyDescent="0.25">
      <c r="A111" s="72" t="s">
        <v>129</v>
      </c>
      <c r="B111" s="80" t="s">
        <v>225</v>
      </c>
      <c r="C111" s="80">
        <v>-7.8740157480314932E-2</v>
      </c>
      <c r="D111" s="80">
        <v>-3.8461538461538436E-2</v>
      </c>
      <c r="E111" s="80">
        <v>0.13777777777777778</v>
      </c>
      <c r="F111" s="80">
        <v>-7.421875E-2</v>
      </c>
      <c r="G111" s="80">
        <v>-9.7046413502109741E-2</v>
      </c>
      <c r="H111" s="80">
        <v>0.34579439252336441</v>
      </c>
      <c r="I111" s="80">
        <v>5.2083333333333259E-2</v>
      </c>
      <c r="J111" s="74">
        <f>J108</f>
        <v>0</v>
      </c>
      <c r="K111" s="74">
        <f t="shared" ref="K111:N111" si="200">K108</f>
        <v>0</v>
      </c>
      <c r="L111" s="74">
        <f t="shared" si="200"/>
        <v>0</v>
      </c>
      <c r="M111" s="74">
        <f t="shared" si="200"/>
        <v>0</v>
      </c>
      <c r="N111" s="74">
        <f t="shared" si="200"/>
        <v>0</v>
      </c>
    </row>
    <row r="112" spans="1:14" x14ac:dyDescent="0.25">
      <c r="A112" s="72" t="s">
        <v>133</v>
      </c>
      <c r="B112" s="80">
        <v>8.2817085099445714E-2</v>
      </c>
      <c r="C112" s="80">
        <v>6.1822985468956405E-2</v>
      </c>
      <c r="D112" s="80">
        <v>5.31036110455511E-2</v>
      </c>
      <c r="E112" s="80">
        <v>4.9863654070899883E-2</v>
      </c>
      <c r="F112" s="80">
        <v>3.817654639175258E-2</v>
      </c>
      <c r="G112" s="80">
        <v>3.2040724659380147E-2</v>
      </c>
      <c r="H112" s="80">
        <v>3.4740651387213509E-2</v>
      </c>
      <c r="I112" s="80">
        <v>4.0148403339075128E-2</v>
      </c>
      <c r="J112" s="80">
        <v>3.7399416934905061E-2</v>
      </c>
      <c r="K112" s="80">
        <v>3.4838655357174279E-2</v>
      </c>
      <c r="L112" s="80">
        <v>3.2453230733744037E-2</v>
      </c>
      <c r="M112" s="80">
        <v>3.0231137633179118E-2</v>
      </c>
      <c r="N112" s="80">
        <v>2.8161192643478366E-2</v>
      </c>
    </row>
    <row r="113" spans="1:14" x14ac:dyDescent="0.25">
      <c r="A113" s="76" t="s">
        <v>106</v>
      </c>
      <c r="B113" s="76"/>
      <c r="C113" s="76"/>
      <c r="D113" s="76"/>
      <c r="E113" s="76"/>
      <c r="F113" s="76"/>
      <c r="G113" s="76"/>
      <c r="H113" s="76"/>
      <c r="I113" s="76"/>
      <c r="J113" s="77"/>
      <c r="K113" s="77"/>
      <c r="L113" s="77"/>
      <c r="M113" s="77"/>
      <c r="N113" s="77"/>
    </row>
    <row r="114" spans="1:14" x14ac:dyDescent="0.25">
      <c r="A114" s="78" t="s">
        <v>136</v>
      </c>
      <c r="B114" s="78">
        <v>4653</v>
      </c>
      <c r="C114" s="78">
        <v>4570</v>
      </c>
      <c r="D114" s="78">
        <v>4737</v>
      </c>
      <c r="E114" s="78">
        <v>5166</v>
      </c>
      <c r="F114" s="78">
        <v>5254</v>
      </c>
      <c r="G114" s="78">
        <v>5028</v>
      </c>
      <c r="H114" s="78">
        <v>5343</v>
      </c>
      <c r="I114" s="78">
        <v>5955</v>
      </c>
      <c r="J114" s="60">
        <f>I114*(1+J115)</f>
        <v>5955</v>
      </c>
      <c r="K114" s="60">
        <f t="shared" ref="K114:M114" si="201">J114*(1+K115)</f>
        <v>5955</v>
      </c>
      <c r="L114" s="60">
        <f t="shared" si="201"/>
        <v>5955</v>
      </c>
      <c r="M114" s="60">
        <f t="shared" si="201"/>
        <v>5955</v>
      </c>
      <c r="N114" s="60">
        <f>M114*(1+N115)</f>
        <v>5955</v>
      </c>
    </row>
    <row r="115" spans="1:14" x14ac:dyDescent="0.25">
      <c r="A115" s="79" t="s">
        <v>129</v>
      </c>
      <c r="B115" s="80" t="s">
        <v>225</v>
      </c>
      <c r="C115" s="80">
        <v>-1.783795400816679E-2</v>
      </c>
      <c r="D115" s="80">
        <v>3.6542669584245013E-2</v>
      </c>
      <c r="E115" s="80">
        <v>9.0563647878403986E-2</v>
      </c>
      <c r="F115" s="80">
        <v>1.7034456058846237E-2</v>
      </c>
      <c r="G115" s="80">
        <v>-4.3014845831747195E-2</v>
      </c>
      <c r="H115" s="80">
        <v>6.2649164677804237E-2</v>
      </c>
      <c r="I115" s="80">
        <v>0.11454239191465465</v>
      </c>
      <c r="J115" s="74">
        <f>J84</f>
        <v>0</v>
      </c>
      <c r="K115" s="74">
        <f t="shared" ref="K115:N115" si="202">J115</f>
        <v>0</v>
      </c>
      <c r="L115" s="74">
        <f t="shared" si="202"/>
        <v>0</v>
      </c>
      <c r="M115" s="74">
        <f t="shared" si="202"/>
        <v>0</v>
      </c>
      <c r="N115" s="74">
        <f t="shared" si="202"/>
        <v>0</v>
      </c>
    </row>
    <row r="116" spans="1:14" x14ac:dyDescent="0.25">
      <c r="A116" s="81" t="s">
        <v>113</v>
      </c>
      <c r="B116" s="78">
        <v>3093</v>
      </c>
      <c r="C116" s="78">
        <v>3106</v>
      </c>
      <c r="D116" s="78">
        <v>3285</v>
      </c>
      <c r="E116" s="78">
        <v>3575</v>
      </c>
      <c r="F116" s="78">
        <v>3622</v>
      </c>
      <c r="G116" s="78">
        <v>3449</v>
      </c>
      <c r="H116" s="78">
        <v>3659</v>
      </c>
      <c r="I116" s="78">
        <v>4111</v>
      </c>
      <c r="J116" s="60">
        <f>I116*(1+J117)</f>
        <v>4111</v>
      </c>
      <c r="K116" s="60">
        <f t="shared" ref="K116:L116" si="203">J116*(1+K117)</f>
        <v>4111</v>
      </c>
      <c r="L116" s="60">
        <f t="shared" si="203"/>
        <v>4111</v>
      </c>
      <c r="M116" s="60">
        <f>L116*(1+M117)</f>
        <v>4111</v>
      </c>
      <c r="N116" s="60">
        <f>M116*(1+N117)</f>
        <v>4111</v>
      </c>
    </row>
    <row r="117" spans="1:14" x14ac:dyDescent="0.25">
      <c r="A117" s="79" t="s">
        <v>129</v>
      </c>
      <c r="B117" s="80" t="s">
        <v>225</v>
      </c>
      <c r="C117" s="80">
        <v>4.2030391205949424E-3</v>
      </c>
      <c r="D117" s="80">
        <v>5.7630392788152074E-2</v>
      </c>
      <c r="E117" s="80">
        <v>8.8280060882800715E-2</v>
      </c>
      <c r="F117" s="80">
        <v>1.3146853146853044E-2</v>
      </c>
      <c r="G117" s="80">
        <v>-4.7763666482606326E-2</v>
      </c>
      <c r="H117" s="80">
        <v>6.0887213685126174E-2</v>
      </c>
      <c r="I117" s="80">
        <v>0.12353101940420874</v>
      </c>
      <c r="J117" s="71">
        <f>J115</f>
        <v>0</v>
      </c>
      <c r="K117" s="71">
        <f t="shared" ref="K117:N117" si="204">K115</f>
        <v>0</v>
      </c>
      <c r="L117" s="71">
        <f t="shared" si="204"/>
        <v>0</v>
      </c>
      <c r="M117" s="71">
        <f t="shared" si="204"/>
        <v>0</v>
      </c>
      <c r="N117" s="71">
        <f t="shared" si="204"/>
        <v>0</v>
      </c>
    </row>
    <row r="118" spans="1:14" x14ac:dyDescent="0.25">
      <c r="A118" s="79" t="s">
        <v>137</v>
      </c>
      <c r="B118" s="80">
        <v>0.16</v>
      </c>
      <c r="C118" s="80">
        <v>0.24000000000000002</v>
      </c>
      <c r="D118" s="80">
        <v>0.16</v>
      </c>
      <c r="E118" s="80">
        <v>0.09</v>
      </c>
      <c r="F118" s="80">
        <v>0.12</v>
      </c>
      <c r="G118" s="80">
        <v>0</v>
      </c>
      <c r="H118" s="80">
        <v>0.08</v>
      </c>
      <c r="I118" s="80">
        <v>0.17</v>
      </c>
      <c r="J118" s="71">
        <f>J117</f>
        <v>0</v>
      </c>
      <c r="K118" s="71">
        <f t="shared" ref="K118:N118" si="205">K117</f>
        <v>0</v>
      </c>
      <c r="L118" s="71">
        <f t="shared" si="205"/>
        <v>0</v>
      </c>
      <c r="M118" s="71">
        <f t="shared" si="205"/>
        <v>0</v>
      </c>
      <c r="N118" s="71">
        <f t="shared" si="205"/>
        <v>0</v>
      </c>
    </row>
    <row r="119" spans="1:14" x14ac:dyDescent="0.25">
      <c r="A119" s="79" t="s">
        <v>138</v>
      </c>
      <c r="B119" s="80" t="s">
        <v>225</v>
      </c>
      <c r="C119" s="80">
        <v>1.7512663002478925E-2</v>
      </c>
      <c r="D119" s="80">
        <v>0.36018995492595046</v>
      </c>
      <c r="E119" s="80">
        <v>0.98088956536445238</v>
      </c>
      <c r="F119" s="80">
        <v>0.10955710955710871</v>
      </c>
      <c r="G119" s="80" t="s">
        <v>225</v>
      </c>
      <c r="H119" s="80">
        <v>0.76109017106407717</v>
      </c>
      <c r="I119" s="80">
        <v>0.72665305531887492</v>
      </c>
      <c r="J119" s="71">
        <v>0</v>
      </c>
      <c r="K119" s="71">
        <v>0</v>
      </c>
      <c r="L119" s="71">
        <v>0</v>
      </c>
      <c r="M119" s="71">
        <v>0</v>
      </c>
      <c r="N119" s="71">
        <v>0</v>
      </c>
    </row>
    <row r="120" spans="1:14" x14ac:dyDescent="0.25">
      <c r="A120" s="81" t="s">
        <v>114</v>
      </c>
      <c r="B120" s="78">
        <v>1251</v>
      </c>
      <c r="C120" s="78">
        <v>1175</v>
      </c>
      <c r="D120" s="78">
        <v>1185</v>
      </c>
      <c r="E120" s="78">
        <v>1347</v>
      </c>
      <c r="F120" s="78">
        <v>1395</v>
      </c>
      <c r="G120" s="78">
        <v>1365</v>
      </c>
      <c r="H120" s="78">
        <v>1494</v>
      </c>
      <c r="I120" s="78">
        <v>1610</v>
      </c>
      <c r="J120" s="60">
        <f>I120*(1+J121)</f>
        <v>1610</v>
      </c>
      <c r="K120" s="60">
        <f t="shared" ref="K120:N120" si="206">J120*(1+K121)</f>
        <v>1610</v>
      </c>
      <c r="L120" s="60">
        <f t="shared" si="206"/>
        <v>1610</v>
      </c>
      <c r="M120" s="60">
        <f t="shared" si="206"/>
        <v>1610</v>
      </c>
      <c r="N120" s="60">
        <f t="shared" si="206"/>
        <v>1610</v>
      </c>
    </row>
    <row r="121" spans="1:14" x14ac:dyDescent="0.25">
      <c r="A121" s="79" t="s">
        <v>129</v>
      </c>
      <c r="B121" s="80" t="s">
        <v>225</v>
      </c>
      <c r="C121" s="80">
        <v>-6.0751398880895313E-2</v>
      </c>
      <c r="D121" s="80">
        <v>8.5106382978723527E-3</v>
      </c>
      <c r="E121" s="80">
        <v>0.13670886075949373</v>
      </c>
      <c r="F121" s="80">
        <v>3.563474387527843E-2</v>
      </c>
      <c r="G121" s="80">
        <v>-2.1505376344086002E-2</v>
      </c>
      <c r="H121" s="80">
        <v>9.4505494505494614E-2</v>
      </c>
      <c r="I121" s="80">
        <v>7.7643908969210251E-2</v>
      </c>
      <c r="J121" s="71">
        <f>J118</f>
        <v>0</v>
      </c>
      <c r="K121" s="71">
        <f t="shared" ref="K121:N121" si="207">K118</f>
        <v>0</v>
      </c>
      <c r="L121" s="71">
        <f>L118</f>
        <v>0</v>
      </c>
      <c r="M121" s="71">
        <f t="shared" si="207"/>
        <v>0</v>
      </c>
      <c r="N121" s="71">
        <f t="shared" si="207"/>
        <v>0</v>
      </c>
    </row>
    <row r="122" spans="1:14" x14ac:dyDescent="0.25">
      <c r="A122" s="79" t="s">
        <v>137</v>
      </c>
      <c r="B122" s="80">
        <v>-1.4999999999999999E-2</v>
      </c>
      <c r="C122" s="80">
        <v>0.08</v>
      </c>
      <c r="D122" s="80">
        <v>0.09</v>
      </c>
      <c r="E122" s="80">
        <v>0.15</v>
      </c>
      <c r="F122" s="80">
        <v>0.15</v>
      </c>
      <c r="G122" s="80">
        <v>0.03</v>
      </c>
      <c r="H122" s="80">
        <v>0.1</v>
      </c>
      <c r="I122" s="80">
        <v>0.12</v>
      </c>
      <c r="J122" s="71">
        <f>J121</f>
        <v>0</v>
      </c>
      <c r="K122" s="71">
        <f t="shared" ref="K122:N122" si="208">K121</f>
        <v>0</v>
      </c>
      <c r="L122" s="71">
        <f t="shared" si="208"/>
        <v>0</v>
      </c>
      <c r="M122" s="71">
        <f t="shared" si="208"/>
        <v>0</v>
      </c>
      <c r="N122" s="71">
        <f t="shared" si="208"/>
        <v>0</v>
      </c>
    </row>
    <row r="123" spans="1:14" x14ac:dyDescent="0.25">
      <c r="A123" s="79" t="s">
        <v>138</v>
      </c>
      <c r="B123" s="80" t="s">
        <v>225</v>
      </c>
      <c r="C123" s="80">
        <v>-0.75939248601119136</v>
      </c>
      <c r="D123" s="80">
        <v>9.4562647754137252E-2</v>
      </c>
      <c r="E123" s="80">
        <v>0.91139240506329156</v>
      </c>
      <c r="F123" s="80">
        <v>0.23756495916852288</v>
      </c>
      <c r="G123" s="80">
        <v>-0.71684587813620015</v>
      </c>
      <c r="H123" s="80">
        <v>0.94505494505494614</v>
      </c>
      <c r="I123" s="80">
        <v>0.6470325747434188</v>
      </c>
      <c r="J123" s="71">
        <v>0</v>
      </c>
      <c r="K123" s="71">
        <v>0</v>
      </c>
      <c r="L123" s="71">
        <v>0</v>
      </c>
      <c r="M123" s="71">
        <v>0</v>
      </c>
      <c r="N123" s="71">
        <v>0</v>
      </c>
    </row>
    <row r="124" spans="1:14" x14ac:dyDescent="0.25">
      <c r="A124" s="81" t="s">
        <v>115</v>
      </c>
      <c r="B124" s="68">
        <v>309</v>
      </c>
      <c r="C124" s="68">
        <v>289</v>
      </c>
      <c r="D124" s="68">
        <v>267</v>
      </c>
      <c r="E124" s="68">
        <v>244</v>
      </c>
      <c r="F124" s="68">
        <v>237</v>
      </c>
      <c r="G124" s="68">
        <v>214</v>
      </c>
      <c r="H124" s="68">
        <v>190</v>
      </c>
      <c r="I124" s="68">
        <v>234</v>
      </c>
      <c r="J124" s="69">
        <f>I124*(1+J125)</f>
        <v>234</v>
      </c>
      <c r="K124" s="69">
        <f t="shared" ref="K124:N124" si="209">J124*(1+K125)</f>
        <v>234</v>
      </c>
      <c r="L124" s="69">
        <f t="shared" si="209"/>
        <v>234</v>
      </c>
      <c r="M124" s="69">
        <f t="shared" si="209"/>
        <v>234</v>
      </c>
      <c r="N124" s="69">
        <f t="shared" si="209"/>
        <v>234</v>
      </c>
    </row>
    <row r="125" spans="1:14" x14ac:dyDescent="0.25">
      <c r="A125" s="79" t="s">
        <v>129</v>
      </c>
      <c r="B125" s="80" t="s">
        <v>225</v>
      </c>
      <c r="C125" s="80">
        <v>-6.4724919093851141E-2</v>
      </c>
      <c r="D125" s="80">
        <v>-7.6124567474048388E-2</v>
      </c>
      <c r="E125" s="80">
        <v>-8.6142322097378266E-2</v>
      </c>
      <c r="F125" s="80">
        <v>-2.8688524590163911E-2</v>
      </c>
      <c r="G125" s="80">
        <v>-9.7046413502109741E-2</v>
      </c>
      <c r="H125" s="80">
        <v>-0.11214953271028039</v>
      </c>
      <c r="I125" s="80">
        <v>0.23157894736842111</v>
      </c>
      <c r="J125" s="71">
        <f>J122</f>
        <v>0</v>
      </c>
      <c r="K125" s="71">
        <f t="shared" ref="K125:N125" si="210">K122</f>
        <v>0</v>
      </c>
      <c r="L125" s="71">
        <f t="shared" si="210"/>
        <v>0</v>
      </c>
      <c r="M125" s="71">
        <f t="shared" si="210"/>
        <v>0</v>
      </c>
      <c r="N125" s="71">
        <f t="shared" si="210"/>
        <v>0</v>
      </c>
    </row>
    <row r="126" spans="1:14" x14ac:dyDescent="0.25">
      <c r="A126" s="79" t="s">
        <v>137</v>
      </c>
      <c r="B126" s="80">
        <v>-4.9999999999999975E-3</v>
      </c>
      <c r="C126" s="80">
        <v>7.0000000000000007E-2</v>
      </c>
      <c r="D126" s="80">
        <v>-0.01</v>
      </c>
      <c r="E126" s="80">
        <v>-0.08</v>
      </c>
      <c r="F126" s="80">
        <v>0.08</v>
      </c>
      <c r="G126" s="80">
        <v>-0.04</v>
      </c>
      <c r="H126" s="80">
        <v>-0.09</v>
      </c>
      <c r="I126" s="80">
        <v>0.28000000000000003</v>
      </c>
      <c r="J126" s="71">
        <f>J125</f>
        <v>0</v>
      </c>
      <c r="K126" s="71">
        <f t="shared" ref="K126:N126" si="211">K125</f>
        <v>0</v>
      </c>
      <c r="L126" s="71">
        <f t="shared" si="211"/>
        <v>0</v>
      </c>
      <c r="M126" s="71">
        <f t="shared" si="211"/>
        <v>0</v>
      </c>
      <c r="N126" s="71">
        <f t="shared" si="211"/>
        <v>0</v>
      </c>
    </row>
    <row r="127" spans="1:14" x14ac:dyDescent="0.25">
      <c r="A127" s="79" t="s">
        <v>138</v>
      </c>
      <c r="B127" s="80" t="s">
        <v>225</v>
      </c>
      <c r="C127" s="80">
        <v>-0.92464170134073054</v>
      </c>
      <c r="D127" s="80">
        <v>7.6124567474048384</v>
      </c>
      <c r="E127" s="80">
        <v>1.0767790262172283</v>
      </c>
      <c r="F127" s="80">
        <v>-0.35860655737704888</v>
      </c>
      <c r="G127" s="80">
        <v>2.4261603375527434</v>
      </c>
      <c r="H127" s="80">
        <v>1.2461059190031154</v>
      </c>
      <c r="I127" s="80">
        <v>0.8270676691729324</v>
      </c>
      <c r="J127" s="71">
        <v>0</v>
      </c>
      <c r="K127" s="71">
        <v>0</v>
      </c>
      <c r="L127" s="71">
        <v>0</v>
      </c>
      <c r="M127" s="71">
        <v>0</v>
      </c>
      <c r="N127" s="71">
        <v>0</v>
      </c>
    </row>
    <row r="128" spans="1:14" x14ac:dyDescent="0.25">
      <c r="A128" s="78" t="s">
        <v>130</v>
      </c>
      <c r="B128" s="68">
        <v>967</v>
      </c>
      <c r="C128" s="68">
        <v>1109</v>
      </c>
      <c r="D128" s="68">
        <v>1034</v>
      </c>
      <c r="E128" s="68">
        <v>1244</v>
      </c>
      <c r="F128" s="68">
        <v>1376</v>
      </c>
      <c r="G128" s="68">
        <v>1230</v>
      </c>
      <c r="H128" s="68">
        <v>1573</v>
      </c>
      <c r="I128" s="68">
        <v>1938</v>
      </c>
      <c r="J128" s="69">
        <f>I128*(1+J129)</f>
        <v>1938</v>
      </c>
      <c r="K128" s="69">
        <f t="shared" ref="K128:N128" si="212">J128*(1+K129)</f>
        <v>1938</v>
      </c>
      <c r="L128" s="69">
        <f t="shared" si="212"/>
        <v>1938</v>
      </c>
      <c r="M128" s="69">
        <f t="shared" si="212"/>
        <v>1938</v>
      </c>
      <c r="N128" s="69">
        <f t="shared" si="212"/>
        <v>1938</v>
      </c>
    </row>
    <row r="129" spans="1:14" x14ac:dyDescent="0.25">
      <c r="A129" s="82" t="s">
        <v>129</v>
      </c>
      <c r="B129" s="80" t="s">
        <v>225</v>
      </c>
      <c r="C129" s="80">
        <v>0.14684591520165458</v>
      </c>
      <c r="D129" s="80">
        <v>-6.7628494138863848E-2</v>
      </c>
      <c r="E129" s="80">
        <v>0.20309477756286265</v>
      </c>
      <c r="F129" s="80">
        <v>0.10610932475884249</v>
      </c>
      <c r="G129" s="80">
        <v>-0.10610465116279066</v>
      </c>
      <c r="H129" s="80">
        <v>0.27886178861788613</v>
      </c>
      <c r="I129" s="80">
        <v>0.23204068658614108</v>
      </c>
      <c r="J129" s="74">
        <f>J126</f>
        <v>0</v>
      </c>
      <c r="K129" s="74">
        <f t="shared" ref="K129:N129" si="213">K126</f>
        <v>0</v>
      </c>
      <c r="L129" s="74">
        <f t="shared" si="213"/>
        <v>0</v>
      </c>
      <c r="M129" s="74">
        <f t="shared" si="213"/>
        <v>0</v>
      </c>
      <c r="N129" s="74">
        <f t="shared" si="213"/>
        <v>0</v>
      </c>
    </row>
    <row r="130" spans="1:14" x14ac:dyDescent="0.25">
      <c r="A130" s="82" t="s">
        <v>131</v>
      </c>
      <c r="B130" s="80">
        <v>0.20782290995056951</v>
      </c>
      <c r="C130" s="80">
        <v>0.24266958424507659</v>
      </c>
      <c r="D130" s="80">
        <v>0.21828161283512773</v>
      </c>
      <c r="E130" s="80">
        <v>0.2408052651955091</v>
      </c>
      <c r="F130" s="80">
        <v>0.26189569851541683</v>
      </c>
      <c r="G130" s="80">
        <v>0.24463007159904535</v>
      </c>
      <c r="H130" s="80">
        <v>0.2944038929440389</v>
      </c>
      <c r="I130" s="80">
        <v>0.32544080604534004</v>
      </c>
      <c r="J130" s="80">
        <v>0.32544080604534004</v>
      </c>
      <c r="K130" s="80">
        <v>0.32544080604534004</v>
      </c>
      <c r="L130" s="80">
        <v>0.32544080604534004</v>
      </c>
      <c r="M130" s="80">
        <v>0.32544080604534004</v>
      </c>
      <c r="N130" s="80">
        <v>0.32544080604534004</v>
      </c>
    </row>
    <row r="131" spans="1:14" x14ac:dyDescent="0.25">
      <c r="A131" s="78" t="s">
        <v>132</v>
      </c>
      <c r="B131" s="68">
        <v>49</v>
      </c>
      <c r="C131" s="68">
        <v>43</v>
      </c>
      <c r="D131" s="68">
        <v>54</v>
      </c>
      <c r="E131" s="68">
        <v>55</v>
      </c>
      <c r="F131" s="68">
        <v>53</v>
      </c>
      <c r="G131" s="68">
        <v>46</v>
      </c>
      <c r="H131" s="68">
        <v>43</v>
      </c>
      <c r="I131" s="68">
        <v>42</v>
      </c>
      <c r="J131" s="69">
        <f>I131*(1+J132)</f>
        <v>42</v>
      </c>
      <c r="K131" s="69">
        <f t="shared" ref="K131:M131" si="214">J131*(1+K132)</f>
        <v>42</v>
      </c>
      <c r="L131" s="69">
        <f t="shared" si="214"/>
        <v>42</v>
      </c>
      <c r="M131" s="69">
        <f t="shared" si="214"/>
        <v>42</v>
      </c>
      <c r="N131" s="69">
        <f>M131*(1+N132)</f>
        <v>42</v>
      </c>
    </row>
    <row r="132" spans="1:14" x14ac:dyDescent="0.25">
      <c r="A132" s="82" t="s">
        <v>129</v>
      </c>
      <c r="B132" s="80" t="s">
        <v>225</v>
      </c>
      <c r="C132" s="80">
        <v>-0.12244897959183676</v>
      </c>
      <c r="D132" s="80">
        <v>0.2558139534883721</v>
      </c>
      <c r="E132" s="80">
        <v>1.8518518518518601E-2</v>
      </c>
      <c r="F132" s="80">
        <v>-3.6363636363636376E-2</v>
      </c>
      <c r="G132" s="80">
        <v>-0.13207547169811318</v>
      </c>
      <c r="H132" s="80">
        <v>-6.5217391304347783E-2</v>
      </c>
      <c r="I132" s="80">
        <v>-2.3255813953488413E-2</v>
      </c>
      <c r="J132" s="71">
        <f>J129</f>
        <v>0</v>
      </c>
      <c r="K132" s="71">
        <f>K129</f>
        <v>0</v>
      </c>
      <c r="L132" s="71">
        <f t="shared" ref="L132:N132" si="215">L129</f>
        <v>0</v>
      </c>
      <c r="M132" s="71">
        <f t="shared" si="215"/>
        <v>0</v>
      </c>
      <c r="N132" s="71">
        <f t="shared" si="215"/>
        <v>0</v>
      </c>
    </row>
    <row r="133" spans="1:14" x14ac:dyDescent="0.25">
      <c r="A133" s="82" t="s">
        <v>133</v>
      </c>
      <c r="B133" s="80">
        <v>1.053084031807436E-2</v>
      </c>
      <c r="C133" s="80">
        <v>9.4091903719912464E-3</v>
      </c>
      <c r="D133" s="80">
        <v>1.1399620012666244E-2</v>
      </c>
      <c r="E133" s="80">
        <v>1.064653503677894E-2</v>
      </c>
      <c r="F133" s="80">
        <v>1.0087552341073468E-2</v>
      </c>
      <c r="G133" s="80">
        <v>9.148766905330152E-3</v>
      </c>
      <c r="H133" s="80">
        <v>8.0479131574022079E-3</v>
      </c>
      <c r="I133" s="80">
        <v>7.0528967254408059E-3</v>
      </c>
      <c r="J133" s="80">
        <v>7.0528967254408059E-3</v>
      </c>
      <c r="K133" s="80">
        <v>7.0528967254408059E-3</v>
      </c>
      <c r="L133" s="80">
        <v>7.0528967254408059E-3</v>
      </c>
      <c r="M133" s="80">
        <v>7.0528967254408059E-3</v>
      </c>
      <c r="N133" s="80">
        <v>7.0528967254408059E-3</v>
      </c>
    </row>
    <row r="134" spans="1:14" x14ac:dyDescent="0.25">
      <c r="A134" s="82" t="s">
        <v>140</v>
      </c>
      <c r="B134" s="80">
        <v>0.15909090909090909</v>
      </c>
      <c r="C134" s="80">
        <v>0.12951807228915663</v>
      </c>
      <c r="D134" s="80">
        <v>0.1588235294117647</v>
      </c>
      <c r="E134" s="80">
        <v>0.16224188790560473</v>
      </c>
      <c r="F134" s="80">
        <v>0.16257668711656442</v>
      </c>
      <c r="G134" s="80">
        <v>0.1554054054054054</v>
      </c>
      <c r="H134" s="80">
        <v>0.14144736842105263</v>
      </c>
      <c r="I134" s="80">
        <v>0.15328467153284672</v>
      </c>
      <c r="J134" s="80">
        <v>0.1512060743750902</v>
      </c>
      <c r="K134" s="80">
        <v>0.14915566376789369</v>
      </c>
      <c r="L134" s="80">
        <v>0.14713305749114808</v>
      </c>
      <c r="M134" s="80">
        <v>0.145137878507791</v>
      </c>
      <c r="N134" s="80">
        <v>0.14316975489352304</v>
      </c>
    </row>
    <row r="135" spans="1:14" x14ac:dyDescent="0.25">
      <c r="A135" s="78" t="s">
        <v>134</v>
      </c>
      <c r="B135" s="61">
        <v>918</v>
      </c>
      <c r="C135" s="61">
        <v>1066</v>
      </c>
      <c r="D135" s="68">
        <v>980</v>
      </c>
      <c r="E135" s="68">
        <v>1189</v>
      </c>
      <c r="F135" s="68">
        <v>1323</v>
      </c>
      <c r="G135" s="68">
        <v>1184</v>
      </c>
      <c r="H135" s="68">
        <v>1530</v>
      </c>
      <c r="I135" s="68">
        <v>1896</v>
      </c>
      <c r="J135" s="69">
        <f>I135*(1+J136)</f>
        <v>1896</v>
      </c>
      <c r="K135" s="69">
        <f t="shared" ref="K135:N135" si="216">J135*(1+K136)</f>
        <v>1896</v>
      </c>
      <c r="L135" s="69">
        <f t="shared" si="216"/>
        <v>1896</v>
      </c>
      <c r="M135" s="69">
        <f t="shared" si="216"/>
        <v>1896</v>
      </c>
      <c r="N135" s="69">
        <f t="shared" si="216"/>
        <v>1896</v>
      </c>
    </row>
    <row r="136" spans="1:14" x14ac:dyDescent="0.25">
      <c r="A136" s="82" t="s">
        <v>129</v>
      </c>
      <c r="B136" s="80" t="s">
        <v>225</v>
      </c>
      <c r="C136" s="80">
        <v>0.16122004357298469</v>
      </c>
      <c r="D136" s="80">
        <v>-8.0675422138836828E-2</v>
      </c>
      <c r="E136" s="80">
        <v>0.21326530612244898</v>
      </c>
      <c r="F136" s="80">
        <v>0.11269974768713209</v>
      </c>
      <c r="G136" s="80">
        <v>-0.1050642479213908</v>
      </c>
      <c r="H136" s="80">
        <v>0.29222972972972983</v>
      </c>
      <c r="I136" s="80">
        <v>0.23921568627450984</v>
      </c>
      <c r="J136" s="74">
        <f>J132</f>
        <v>0</v>
      </c>
      <c r="K136" s="74">
        <f>K132</f>
        <v>0</v>
      </c>
      <c r="L136" s="74">
        <f t="shared" ref="L136:N136" si="217">L132</f>
        <v>0</v>
      </c>
      <c r="M136" s="74">
        <f t="shared" si="217"/>
        <v>0</v>
      </c>
      <c r="N136" s="74">
        <f t="shared" si="217"/>
        <v>0</v>
      </c>
    </row>
    <row r="137" spans="1:14" x14ac:dyDescent="0.25">
      <c r="A137" s="82" t="s">
        <v>131</v>
      </c>
      <c r="B137" s="80">
        <v>0.19729206963249515</v>
      </c>
      <c r="C137" s="80">
        <v>0.23326039387308534</v>
      </c>
      <c r="D137" s="80">
        <v>0.20688199282246147</v>
      </c>
      <c r="E137" s="80">
        <v>0.23015873015873015</v>
      </c>
      <c r="F137" s="80">
        <v>0.25180814617434338</v>
      </c>
      <c r="G137" s="80">
        <v>0.2354813046937152</v>
      </c>
      <c r="H137" s="80">
        <v>0.28635597978663674</v>
      </c>
      <c r="I137" s="80">
        <v>0.31838790931989924</v>
      </c>
      <c r="J137" s="80">
        <v>0.31838790931989924</v>
      </c>
      <c r="K137" s="80">
        <v>0.31838790931989924</v>
      </c>
      <c r="L137" s="80">
        <v>0.31838790931989924</v>
      </c>
      <c r="M137" s="80">
        <v>0.31838790931989924</v>
      </c>
      <c r="N137" s="80">
        <v>0.31838790931989924</v>
      </c>
    </row>
    <row r="138" spans="1:14" x14ac:dyDescent="0.25">
      <c r="A138" s="78" t="s">
        <v>135</v>
      </c>
      <c r="B138" s="68">
        <v>52</v>
      </c>
      <c r="C138" s="68">
        <v>64</v>
      </c>
      <c r="D138" s="68">
        <v>59</v>
      </c>
      <c r="E138" s="68">
        <v>49</v>
      </c>
      <c r="F138" s="68">
        <v>47</v>
      </c>
      <c r="G138" s="68">
        <v>41</v>
      </c>
      <c r="H138" s="68">
        <v>54</v>
      </c>
      <c r="I138" s="68">
        <v>56</v>
      </c>
      <c r="J138" s="69">
        <f>I138*(1+J139)</f>
        <v>56</v>
      </c>
      <c r="K138" s="69">
        <f t="shared" ref="K138:N138" si="218">J138*(1+K139)</f>
        <v>56</v>
      </c>
      <c r="L138" s="69">
        <f t="shared" si="218"/>
        <v>56</v>
      </c>
      <c r="M138" s="69">
        <f t="shared" si="218"/>
        <v>56</v>
      </c>
      <c r="N138" s="69">
        <f t="shared" si="218"/>
        <v>56</v>
      </c>
    </row>
    <row r="139" spans="1:14" x14ac:dyDescent="0.25">
      <c r="A139" s="82" t="s">
        <v>129</v>
      </c>
      <c r="B139" s="80" t="s">
        <v>225</v>
      </c>
      <c r="C139" s="80">
        <v>0.23076923076923084</v>
      </c>
      <c r="D139" s="80">
        <v>-7.8125E-2</v>
      </c>
      <c r="E139" s="80">
        <v>-0.16949152542372881</v>
      </c>
      <c r="F139" s="80">
        <v>-4.081632653061229E-2</v>
      </c>
      <c r="G139" s="80">
        <v>-0.12765957446808507</v>
      </c>
      <c r="H139" s="80">
        <v>0.31707317073170738</v>
      </c>
      <c r="I139" s="80">
        <v>3.7037037037036979E-2</v>
      </c>
      <c r="J139" s="74">
        <f>J136</f>
        <v>0</v>
      </c>
      <c r="K139" s="74">
        <f t="shared" ref="K139:N139" si="219">K136</f>
        <v>0</v>
      </c>
      <c r="L139" s="74">
        <f t="shared" si="219"/>
        <v>0</v>
      </c>
      <c r="M139" s="74">
        <f t="shared" si="219"/>
        <v>0</v>
      </c>
      <c r="N139" s="74">
        <f t="shared" si="219"/>
        <v>0</v>
      </c>
    </row>
    <row r="140" spans="1:14" x14ac:dyDescent="0.25">
      <c r="A140" s="82" t="s">
        <v>133</v>
      </c>
      <c r="B140" s="80">
        <v>1.117558564367075E-2</v>
      </c>
      <c r="C140" s="80">
        <v>1.400437636761488E-2</v>
      </c>
      <c r="D140" s="80">
        <v>1.2455140384209416E-2</v>
      </c>
      <c r="E140" s="80">
        <v>9.485094850948509E-3</v>
      </c>
      <c r="F140" s="80">
        <v>8.9455652835934533E-3</v>
      </c>
      <c r="G140" s="80">
        <v>8.1543357199681775E-3</v>
      </c>
      <c r="H140" s="80">
        <v>1.0106681639528355E-2</v>
      </c>
      <c r="I140" s="80">
        <v>9.4038623005877411E-3</v>
      </c>
      <c r="J140" s="80">
        <v>9.4038623005877411E-3</v>
      </c>
      <c r="K140" s="80">
        <v>9.4038623005877411E-3</v>
      </c>
      <c r="L140" s="80">
        <v>9.4038623005877411E-3</v>
      </c>
      <c r="M140" s="80">
        <v>9.4038623005877411E-3</v>
      </c>
      <c r="N140" s="80">
        <v>9.4038623005877411E-3</v>
      </c>
    </row>
    <row r="141" spans="1:14" x14ac:dyDescent="0.25">
      <c r="A141" s="75" t="s">
        <v>117</v>
      </c>
      <c r="B141" s="83">
        <v>308</v>
      </c>
      <c r="C141" s="83">
        <v>332</v>
      </c>
      <c r="D141" s="83">
        <v>340</v>
      </c>
      <c r="E141" s="83">
        <v>339</v>
      </c>
      <c r="F141" s="83">
        <v>326</v>
      </c>
      <c r="G141" s="83">
        <v>296</v>
      </c>
      <c r="H141" s="83">
        <v>304</v>
      </c>
      <c r="I141" s="83">
        <v>274</v>
      </c>
      <c r="J141" s="69">
        <f>I141*(1+J142)</f>
        <v>274</v>
      </c>
      <c r="K141" s="69">
        <f t="shared" ref="K141:M141" si="220">J141*(1+K142)</f>
        <v>274</v>
      </c>
      <c r="L141" s="69">
        <f t="shared" si="220"/>
        <v>274</v>
      </c>
      <c r="M141" s="69">
        <f t="shared" si="220"/>
        <v>274</v>
      </c>
      <c r="N141" s="69">
        <f>M141*(1+N142)</f>
        <v>274</v>
      </c>
    </row>
    <row r="142" spans="1:14" x14ac:dyDescent="0.25">
      <c r="A142" s="72" t="s">
        <v>129</v>
      </c>
      <c r="B142" s="80" t="s">
        <v>225</v>
      </c>
      <c r="C142" s="80">
        <v>7.7922077922077948E-2</v>
      </c>
      <c r="D142" s="80">
        <v>2.4096385542168752E-2</v>
      </c>
      <c r="E142" s="80">
        <v>-2.9411764705882248E-3</v>
      </c>
      <c r="F142" s="80">
        <v>-3.8348082595870192E-2</v>
      </c>
      <c r="G142" s="80">
        <v>-9.2024539877300637E-2</v>
      </c>
      <c r="H142" s="80">
        <v>2.7027027027026973E-2</v>
      </c>
      <c r="I142" s="80">
        <v>-9.8684210526315819E-2</v>
      </c>
      <c r="J142" s="80">
        <f>J139</f>
        <v>0</v>
      </c>
      <c r="K142" s="80">
        <f t="shared" ref="K142:N142" si="221">K139</f>
        <v>0</v>
      </c>
      <c r="L142" s="80">
        <f t="shared" si="221"/>
        <v>0</v>
      </c>
      <c r="M142" s="80">
        <f t="shared" si="221"/>
        <v>0</v>
      </c>
      <c r="N142" s="80">
        <f t="shared" si="221"/>
        <v>0</v>
      </c>
    </row>
    <row r="143" spans="1:14" x14ac:dyDescent="0.25">
      <c r="A143" s="72" t="s">
        <v>133</v>
      </c>
      <c r="B143" s="80">
        <v>6.6193853427895979E-2</v>
      </c>
      <c r="C143" s="80">
        <v>7.264770240700219E-2</v>
      </c>
      <c r="D143" s="80">
        <v>7.1775385264935612E-2</v>
      </c>
      <c r="E143" s="80">
        <v>6.5621370499419282E-2</v>
      </c>
      <c r="F143" s="80">
        <v>6.2047963456414161E-2</v>
      </c>
      <c r="G143" s="80">
        <v>5.88703261734288E-2</v>
      </c>
      <c r="H143" s="80">
        <v>5.6896874415122589E-2</v>
      </c>
      <c r="I143" s="80">
        <v>4.6011754827875735E-2</v>
      </c>
      <c r="J143" s="80">
        <v>4.2861301062987599E-2</v>
      </c>
      <c r="K143" s="80">
        <v>3.9926560846992074E-2</v>
      </c>
      <c r="L143" s="80">
        <v>3.7192764137651282E-2</v>
      </c>
      <c r="M143" s="80">
        <v>3.4646152206800271E-2</v>
      </c>
      <c r="N143" s="80">
        <v>3.2273908395036903E-2</v>
      </c>
    </row>
    <row r="144" spans="1:14" x14ac:dyDescent="0.25">
      <c r="A144" s="76" t="s">
        <v>226</v>
      </c>
      <c r="B144" s="76"/>
      <c r="C144" s="76"/>
      <c r="D144" s="76"/>
      <c r="E144" s="76"/>
      <c r="F144" s="76"/>
      <c r="G144" s="76"/>
      <c r="H144" s="76"/>
      <c r="I144" s="76"/>
      <c r="J144" s="77"/>
      <c r="K144" s="77"/>
      <c r="L144" s="77"/>
      <c r="M144" s="77"/>
      <c r="N144" s="77"/>
    </row>
    <row r="145" spans="1:14" x14ac:dyDescent="0.25">
      <c r="A145" s="78" t="s">
        <v>136</v>
      </c>
      <c r="B145" s="78">
        <v>115</v>
      </c>
      <c r="C145" s="78">
        <v>73</v>
      </c>
      <c r="D145" s="78">
        <v>73</v>
      </c>
      <c r="E145" s="78">
        <v>88</v>
      </c>
      <c r="F145" s="78">
        <v>42</v>
      </c>
      <c r="G145" s="78">
        <v>30</v>
      </c>
      <c r="H145" s="78">
        <v>25</v>
      </c>
      <c r="I145" s="78">
        <v>102</v>
      </c>
      <c r="J145" s="60">
        <f>I145*(1+J146)</f>
        <v>102</v>
      </c>
      <c r="K145" s="60">
        <f t="shared" ref="K145:M145" si="222">J145*(1+K146)</f>
        <v>102</v>
      </c>
      <c r="L145" s="60">
        <f t="shared" si="222"/>
        <v>102</v>
      </c>
      <c r="M145" s="60">
        <f t="shared" si="222"/>
        <v>102</v>
      </c>
      <c r="N145" s="60">
        <f>M145*(1+N146)</f>
        <v>102</v>
      </c>
    </row>
    <row r="146" spans="1:14" x14ac:dyDescent="0.25">
      <c r="A146" s="79" t="s">
        <v>129</v>
      </c>
      <c r="B146" s="80" t="s">
        <v>225</v>
      </c>
      <c r="C146" s="80">
        <v>-0.36521739130434783</v>
      </c>
      <c r="D146" s="80">
        <v>0</v>
      </c>
      <c r="E146" s="80">
        <v>0.20547945205479445</v>
      </c>
      <c r="F146" s="80">
        <v>-0.52272727272727271</v>
      </c>
      <c r="G146" s="80">
        <v>-0.2857142857142857</v>
      </c>
      <c r="H146" s="80">
        <v>-0.16666666666666663</v>
      </c>
      <c r="I146" s="80">
        <v>3.08</v>
      </c>
      <c r="J146" s="74">
        <f>J115</f>
        <v>0</v>
      </c>
      <c r="K146" s="74">
        <f t="shared" ref="K146:N146" si="223">J146</f>
        <v>0</v>
      </c>
      <c r="L146" s="74">
        <f t="shared" si="223"/>
        <v>0</v>
      </c>
      <c r="M146" s="74">
        <f t="shared" si="223"/>
        <v>0</v>
      </c>
      <c r="N146" s="74">
        <f t="shared" si="223"/>
        <v>0</v>
      </c>
    </row>
    <row r="147" spans="1:14" hidden="1" x14ac:dyDescent="0.25">
      <c r="A147" s="81" t="s">
        <v>113</v>
      </c>
      <c r="B147" s="78"/>
      <c r="C147" s="78"/>
      <c r="D147" s="78"/>
      <c r="E147" s="78"/>
      <c r="F147" s="78"/>
      <c r="G147" s="78"/>
      <c r="H147" s="78"/>
      <c r="I147" s="78"/>
      <c r="J147" s="84"/>
      <c r="K147" s="84"/>
      <c r="L147" s="84"/>
      <c r="M147" s="84"/>
      <c r="N147" s="84"/>
    </row>
    <row r="148" spans="1:14" hidden="1" x14ac:dyDescent="0.25">
      <c r="A148" s="79" t="s">
        <v>129</v>
      </c>
      <c r="B148" s="80"/>
      <c r="C148" s="80"/>
      <c r="D148" s="80"/>
      <c r="E148" s="80"/>
      <c r="F148" s="80"/>
      <c r="G148" s="80"/>
      <c r="H148" s="80"/>
      <c r="I148" s="80"/>
      <c r="J148" s="84"/>
      <c r="K148" s="84"/>
      <c r="L148" s="84"/>
      <c r="M148" s="84"/>
      <c r="N148" s="84"/>
    </row>
    <row r="149" spans="1:14" hidden="1" x14ac:dyDescent="0.25">
      <c r="A149" s="79" t="s">
        <v>137</v>
      </c>
      <c r="B149" s="80"/>
      <c r="C149" s="80"/>
      <c r="D149" s="80"/>
      <c r="E149" s="80"/>
      <c r="F149" s="80"/>
      <c r="G149" s="80"/>
      <c r="H149" s="80"/>
      <c r="I149" s="80"/>
      <c r="J149" s="84"/>
      <c r="K149" s="84"/>
      <c r="L149" s="84"/>
      <c r="M149" s="84"/>
      <c r="N149" s="84"/>
    </row>
    <row r="150" spans="1:14" hidden="1" x14ac:dyDescent="0.25">
      <c r="A150" s="79" t="s">
        <v>138</v>
      </c>
      <c r="B150" s="80"/>
      <c r="C150" s="80"/>
      <c r="D150" s="80"/>
      <c r="E150" s="80"/>
      <c r="F150" s="80"/>
      <c r="G150" s="80"/>
      <c r="H150" s="80"/>
      <c r="I150" s="80"/>
      <c r="J150" s="84"/>
      <c r="K150" s="84"/>
      <c r="L150" s="84"/>
      <c r="M150" s="84"/>
      <c r="N150" s="84"/>
    </row>
    <row r="151" spans="1:14" hidden="1" x14ac:dyDescent="0.25">
      <c r="A151" s="81" t="s">
        <v>114</v>
      </c>
      <c r="B151" s="78"/>
      <c r="C151" s="78"/>
      <c r="D151" s="78"/>
      <c r="E151" s="78"/>
      <c r="F151" s="78"/>
      <c r="G151" s="78"/>
      <c r="H151" s="78"/>
      <c r="I151" s="78"/>
      <c r="J151" s="84"/>
      <c r="K151" s="84"/>
      <c r="L151" s="84"/>
      <c r="M151" s="84"/>
      <c r="N151" s="84"/>
    </row>
    <row r="152" spans="1:14" hidden="1" x14ac:dyDescent="0.25">
      <c r="A152" s="79" t="s">
        <v>129</v>
      </c>
      <c r="B152" s="80"/>
      <c r="C152" s="80"/>
      <c r="D152" s="80"/>
      <c r="E152" s="80"/>
      <c r="F152" s="80"/>
      <c r="G152" s="80"/>
      <c r="H152" s="80"/>
      <c r="I152" s="80"/>
      <c r="J152" s="84"/>
      <c r="K152" s="84"/>
      <c r="L152" s="84"/>
      <c r="M152" s="84"/>
      <c r="N152" s="84"/>
    </row>
    <row r="153" spans="1:14" hidden="1" x14ac:dyDescent="0.25">
      <c r="A153" s="79" t="s">
        <v>137</v>
      </c>
      <c r="B153" s="80"/>
      <c r="C153" s="80"/>
      <c r="D153" s="80"/>
      <c r="E153" s="80"/>
      <c r="F153" s="80"/>
      <c r="G153" s="80"/>
      <c r="H153" s="80"/>
      <c r="I153" s="80"/>
      <c r="J153" s="84"/>
      <c r="K153" s="84"/>
      <c r="L153" s="84"/>
      <c r="M153" s="84"/>
      <c r="N153" s="84"/>
    </row>
    <row r="154" spans="1:14" hidden="1" x14ac:dyDescent="0.25">
      <c r="A154" s="79" t="s">
        <v>138</v>
      </c>
      <c r="B154" s="80"/>
      <c r="C154" s="80"/>
      <c r="D154" s="80"/>
      <c r="E154" s="80"/>
      <c r="F154" s="80"/>
      <c r="G154" s="80"/>
      <c r="H154" s="80"/>
      <c r="I154" s="80"/>
      <c r="J154" s="84"/>
      <c r="K154" s="84"/>
      <c r="L154" s="84"/>
      <c r="M154" s="84"/>
      <c r="N154" s="84"/>
    </row>
    <row r="155" spans="1:14" hidden="1" x14ac:dyDescent="0.25">
      <c r="A155" s="81" t="s">
        <v>115</v>
      </c>
      <c r="B155" s="68"/>
      <c r="C155" s="68"/>
      <c r="D155" s="68"/>
      <c r="E155" s="68"/>
      <c r="F155" s="68"/>
      <c r="G155" s="68"/>
      <c r="H155" s="68"/>
      <c r="I155" s="68"/>
      <c r="J155" s="84"/>
      <c r="K155" s="84"/>
      <c r="L155" s="84"/>
      <c r="M155" s="84"/>
      <c r="N155" s="84"/>
    </row>
    <row r="156" spans="1:14" hidden="1" x14ac:dyDescent="0.25">
      <c r="A156" s="79" t="s">
        <v>129</v>
      </c>
      <c r="B156" s="80"/>
      <c r="C156" s="80"/>
      <c r="D156" s="80"/>
      <c r="E156" s="80"/>
      <c r="F156" s="80"/>
      <c r="G156" s="80"/>
      <c r="H156" s="80"/>
      <c r="I156" s="80"/>
      <c r="J156" s="84"/>
      <c r="K156" s="84"/>
      <c r="L156" s="84"/>
      <c r="M156" s="84"/>
      <c r="N156" s="84"/>
    </row>
    <row r="157" spans="1:14" hidden="1" x14ac:dyDescent="0.25">
      <c r="A157" s="79" t="s">
        <v>137</v>
      </c>
      <c r="B157" s="80"/>
      <c r="C157" s="80"/>
      <c r="D157" s="80"/>
      <c r="E157" s="80"/>
      <c r="F157" s="80"/>
      <c r="G157" s="80"/>
      <c r="H157" s="80"/>
      <c r="I157" s="80"/>
      <c r="J157" s="84"/>
      <c r="K157" s="84"/>
      <c r="L157" s="84"/>
      <c r="M157" s="84"/>
      <c r="N157" s="84"/>
    </row>
    <row r="158" spans="1:14" hidden="1" x14ac:dyDescent="0.25">
      <c r="A158" s="79" t="s">
        <v>138</v>
      </c>
      <c r="B158" s="80"/>
      <c r="C158" s="80"/>
      <c r="D158" s="80"/>
      <c r="E158" s="80"/>
      <c r="F158" s="80"/>
      <c r="G158" s="80"/>
      <c r="H158" s="80"/>
      <c r="I158" s="80"/>
      <c r="J158" s="84"/>
      <c r="K158" s="84"/>
      <c r="L158" s="84"/>
      <c r="M158" s="84"/>
      <c r="N158" s="84"/>
    </row>
    <row r="159" spans="1:14" x14ac:dyDescent="0.25">
      <c r="A159" s="78" t="s">
        <v>130</v>
      </c>
      <c r="B159" s="68">
        <v>-2053</v>
      </c>
      <c r="C159" s="68">
        <v>-2366</v>
      </c>
      <c r="D159" s="68">
        <v>-2444</v>
      </c>
      <c r="E159" s="68">
        <v>-2441</v>
      </c>
      <c r="F159" s="68">
        <v>-3067</v>
      </c>
      <c r="G159" s="68">
        <v>-3254</v>
      </c>
      <c r="H159" s="68">
        <v>-3434</v>
      </c>
      <c r="I159" s="68">
        <v>-4042</v>
      </c>
      <c r="J159" s="85">
        <f>I159*(1+J160)</f>
        <v>-4042</v>
      </c>
      <c r="K159" s="85">
        <f>J159*(1+K160)</f>
        <v>-4042</v>
      </c>
      <c r="L159" s="85">
        <f t="shared" ref="L159:M159" si="224">K159*(1+L160)</f>
        <v>-4042</v>
      </c>
      <c r="M159" s="85">
        <f t="shared" si="224"/>
        <v>-4042</v>
      </c>
      <c r="N159" s="85">
        <f>M159*(1+N160)</f>
        <v>-4042</v>
      </c>
    </row>
    <row r="160" spans="1:14" x14ac:dyDescent="0.25">
      <c r="A160" s="82" t="s">
        <v>129</v>
      </c>
      <c r="B160" s="80" t="s">
        <v>225</v>
      </c>
      <c r="C160" s="80">
        <v>0.15245981490501714</v>
      </c>
      <c r="D160" s="80">
        <v>3.2967032967033072E-2</v>
      </c>
      <c r="E160" s="80">
        <v>-1.2274959083469206E-3</v>
      </c>
      <c r="F160" s="80">
        <v>0.25645227365833678</v>
      </c>
      <c r="G160" s="80">
        <v>6.0971633518095869E-2</v>
      </c>
      <c r="H160" s="80">
        <v>5.5316533497234088E-2</v>
      </c>
      <c r="I160" s="80">
        <v>0.1770529994175889</v>
      </c>
      <c r="J160" s="74">
        <f>J146</f>
        <v>0</v>
      </c>
      <c r="K160" s="74">
        <f t="shared" ref="K160:N160" si="225">K146</f>
        <v>0</v>
      </c>
      <c r="L160" s="74">
        <f t="shared" si="225"/>
        <v>0</v>
      </c>
      <c r="M160" s="74">
        <f t="shared" si="225"/>
        <v>0</v>
      </c>
      <c r="N160" s="74">
        <f t="shared" si="225"/>
        <v>0</v>
      </c>
    </row>
    <row r="161" spans="1:14" x14ac:dyDescent="0.25">
      <c r="A161" s="82" t="s">
        <v>131</v>
      </c>
      <c r="B161" s="80">
        <v>-17.85217391304348</v>
      </c>
      <c r="C161" s="80">
        <v>-32.410958904109592</v>
      </c>
      <c r="D161" s="80">
        <v>-33.479452054794521</v>
      </c>
      <c r="E161" s="80">
        <v>-27.738636363636363</v>
      </c>
      <c r="F161" s="80">
        <v>-73.023809523809518</v>
      </c>
      <c r="G161" s="80">
        <v>-108.46666666666667</v>
      </c>
      <c r="H161" s="80">
        <v>-137.36000000000001</v>
      </c>
      <c r="I161" s="80">
        <v>-39.627450980392155</v>
      </c>
      <c r="J161" s="80">
        <v>-39.627450980392155</v>
      </c>
      <c r="K161" s="80">
        <v>-39.627450980392155</v>
      </c>
      <c r="L161" s="80">
        <v>-39.627450980392155</v>
      </c>
      <c r="M161" s="80">
        <v>-39.627450980392155</v>
      </c>
      <c r="N161" s="80">
        <v>-39.627450980392155</v>
      </c>
    </row>
    <row r="162" spans="1:14" x14ac:dyDescent="0.25">
      <c r="A162" s="78" t="s">
        <v>132</v>
      </c>
      <c r="B162" s="68">
        <v>210</v>
      </c>
      <c r="C162" s="68">
        <v>230</v>
      </c>
      <c r="D162" s="68">
        <v>233</v>
      </c>
      <c r="E162" s="68">
        <v>217</v>
      </c>
      <c r="F162" s="68">
        <v>195</v>
      </c>
      <c r="G162" s="68">
        <v>214</v>
      </c>
      <c r="H162" s="68">
        <v>222</v>
      </c>
      <c r="I162" s="68">
        <v>220</v>
      </c>
      <c r="J162" s="69">
        <f>I162*(1+J163)</f>
        <v>220</v>
      </c>
      <c r="K162" s="69">
        <f t="shared" ref="K162:M162" si="226">J162*(1+K163)</f>
        <v>220</v>
      </c>
      <c r="L162" s="69">
        <f t="shared" si="226"/>
        <v>220</v>
      </c>
      <c r="M162" s="69">
        <f t="shared" si="226"/>
        <v>220</v>
      </c>
      <c r="N162" s="69">
        <f>M162*(1+N163)</f>
        <v>220</v>
      </c>
    </row>
    <row r="163" spans="1:14" x14ac:dyDescent="0.25">
      <c r="A163" s="82" t="s">
        <v>129</v>
      </c>
      <c r="B163" s="80" t="s">
        <v>225</v>
      </c>
      <c r="C163" s="80">
        <v>9.5238095238095344E-2</v>
      </c>
      <c r="D163" s="80">
        <v>1.304347826086949E-2</v>
      </c>
      <c r="E163" s="80">
        <v>-6.8669527896995763E-2</v>
      </c>
      <c r="F163" s="80">
        <v>-0.10138248847926268</v>
      </c>
      <c r="G163" s="80">
        <v>9.7435897435897534E-2</v>
      </c>
      <c r="H163" s="80">
        <v>3.7383177570093462E-2</v>
      </c>
      <c r="I163" s="80">
        <v>-9.009009009009028E-3</v>
      </c>
      <c r="J163" s="71">
        <f>J160</f>
        <v>0</v>
      </c>
      <c r="K163" s="71">
        <f t="shared" ref="K163:N163" si="227">K160</f>
        <v>0</v>
      </c>
      <c r="L163" s="71">
        <f t="shared" si="227"/>
        <v>0</v>
      </c>
      <c r="M163" s="71">
        <f t="shared" si="227"/>
        <v>0</v>
      </c>
      <c r="N163" s="71">
        <f t="shared" si="227"/>
        <v>0</v>
      </c>
    </row>
    <row r="164" spans="1:14" x14ac:dyDescent="0.25">
      <c r="A164" s="82" t="s">
        <v>133</v>
      </c>
      <c r="B164" s="80">
        <v>1.826086956521739</v>
      </c>
      <c r="C164" s="80">
        <v>3.1506849315068495</v>
      </c>
      <c r="D164" s="80">
        <v>3.1917808219178081</v>
      </c>
      <c r="E164" s="80">
        <v>2.4659090909090908</v>
      </c>
      <c r="F164" s="80">
        <v>4.6428571428571432</v>
      </c>
      <c r="G164" s="80">
        <v>7.1333333333333337</v>
      </c>
      <c r="H164" s="80">
        <v>8.8800000000000008</v>
      </c>
      <c r="I164" s="80">
        <v>2.1568627450980391</v>
      </c>
      <c r="J164" s="80">
        <v>2.1568627450980391</v>
      </c>
      <c r="K164" s="80">
        <v>2.1568627450980391</v>
      </c>
      <c r="L164" s="80">
        <v>2.1568627450980391</v>
      </c>
      <c r="M164" s="80">
        <v>2.1568627450980391</v>
      </c>
      <c r="N164" s="80">
        <v>2.1568627450980391</v>
      </c>
    </row>
    <row r="165" spans="1:14" x14ac:dyDescent="0.25">
      <c r="A165" s="82" t="s">
        <v>140</v>
      </c>
      <c r="B165" s="80">
        <v>0.43388429752066116</v>
      </c>
      <c r="C165" s="80">
        <v>0.45009784735812131</v>
      </c>
      <c r="D165" s="80">
        <v>0.43714821763602252</v>
      </c>
      <c r="E165" s="80">
        <v>0.36348408710217756</v>
      </c>
      <c r="F165" s="80">
        <v>0.2932330827067669</v>
      </c>
      <c r="G165" s="80">
        <v>0.25783132530120484</v>
      </c>
      <c r="H165" s="80">
        <v>0.2846153846153846</v>
      </c>
      <c r="I165" s="80">
        <v>0.27883396704689478</v>
      </c>
      <c r="J165" s="80">
        <v>0.27505287474592427</v>
      </c>
      <c r="K165" s="80">
        <v>0.27132305546287139</v>
      </c>
      <c r="L165" s="80">
        <v>0.26764381391654313</v>
      </c>
      <c r="M165" s="80">
        <v>0.26401446425401787</v>
      </c>
      <c r="N165" s="80">
        <v>0.26043432992279469</v>
      </c>
    </row>
    <row r="166" spans="1:14" x14ac:dyDescent="0.25">
      <c r="A166" s="78" t="s">
        <v>134</v>
      </c>
      <c r="B166" s="68">
        <v>-2263</v>
      </c>
      <c r="C166" s="68">
        <v>-2596</v>
      </c>
      <c r="D166" s="68">
        <v>-2677</v>
      </c>
      <c r="E166" s="68">
        <v>-2658</v>
      </c>
      <c r="F166" s="68">
        <v>-3262</v>
      </c>
      <c r="G166" s="68">
        <v>-3468</v>
      </c>
      <c r="H166" s="68">
        <v>-3656</v>
      </c>
      <c r="I166" s="68">
        <v>-4262</v>
      </c>
      <c r="J166" s="69">
        <f>I166*(1+J167)</f>
        <v>-4262</v>
      </c>
      <c r="K166" s="69">
        <f t="shared" ref="K166:M166" si="228">J166*(1+K167)</f>
        <v>-4262</v>
      </c>
      <c r="L166" s="69">
        <f t="shared" si="228"/>
        <v>-4262</v>
      </c>
      <c r="M166" s="69">
        <f t="shared" si="228"/>
        <v>-4262</v>
      </c>
      <c r="N166" s="69">
        <f>M166*(1+N167)</f>
        <v>-4262</v>
      </c>
    </row>
    <row r="167" spans="1:14" x14ac:dyDescent="0.25">
      <c r="A167" s="82" t="s">
        <v>129</v>
      </c>
      <c r="B167" s="80" t="s">
        <v>225</v>
      </c>
      <c r="C167" s="80">
        <v>0.1471498011489174</v>
      </c>
      <c r="D167" s="80">
        <v>3.1201848998459125E-2</v>
      </c>
      <c r="E167" s="80">
        <v>-7.097497198356395E-3</v>
      </c>
      <c r="F167" s="80">
        <v>0.22723852520692245</v>
      </c>
      <c r="G167" s="80">
        <v>6.3151440833844275E-2</v>
      </c>
      <c r="H167" s="80">
        <v>5.4209919261822392E-2</v>
      </c>
      <c r="I167" s="80">
        <v>0.16575492341356668</v>
      </c>
      <c r="J167" s="74">
        <f>J163</f>
        <v>0</v>
      </c>
      <c r="K167" s="74">
        <f t="shared" ref="K167:N167" si="229">K163</f>
        <v>0</v>
      </c>
      <c r="L167" s="74">
        <f t="shared" si="229"/>
        <v>0</v>
      </c>
      <c r="M167" s="74">
        <f t="shared" si="229"/>
        <v>0</v>
      </c>
      <c r="N167" s="74">
        <f t="shared" si="229"/>
        <v>0</v>
      </c>
    </row>
    <row r="168" spans="1:14" x14ac:dyDescent="0.25">
      <c r="A168" s="82" t="s">
        <v>131</v>
      </c>
      <c r="B168" s="80">
        <v>-19.678260869565218</v>
      </c>
      <c r="C168" s="80">
        <v>-35.561643835616437</v>
      </c>
      <c r="D168" s="80">
        <v>-36.671232876712331</v>
      </c>
      <c r="E168" s="80">
        <v>-30.204545454545453</v>
      </c>
      <c r="F168" s="80">
        <v>-77.666666666666671</v>
      </c>
      <c r="G168" s="80">
        <v>-115.6</v>
      </c>
      <c r="H168" s="80">
        <v>-146.24</v>
      </c>
      <c r="I168" s="80">
        <v>-41.784313725490193</v>
      </c>
      <c r="J168" s="80">
        <v>-41.784313725490193</v>
      </c>
      <c r="K168" s="80">
        <v>-41.784313725490193</v>
      </c>
      <c r="L168" s="80">
        <v>-41.784313725490193</v>
      </c>
      <c r="M168" s="80">
        <v>-41.784313725490193</v>
      </c>
      <c r="N168" s="80">
        <v>-41.784313725490193</v>
      </c>
    </row>
    <row r="169" spans="1:14" x14ac:dyDescent="0.25">
      <c r="A169" s="78" t="s">
        <v>135</v>
      </c>
      <c r="B169" s="68">
        <v>225</v>
      </c>
      <c r="C169" s="68">
        <v>258</v>
      </c>
      <c r="D169" s="68">
        <v>278</v>
      </c>
      <c r="E169" s="68">
        <v>286</v>
      </c>
      <c r="F169" s="68">
        <v>278</v>
      </c>
      <c r="G169" s="68">
        <v>438</v>
      </c>
      <c r="H169" s="68">
        <v>278</v>
      </c>
      <c r="I169" s="68">
        <v>222</v>
      </c>
      <c r="J169" s="69">
        <f>I169*(1+J170)</f>
        <v>222</v>
      </c>
      <c r="K169" s="69">
        <f t="shared" ref="K169:M169" si="230">J169*(1+K170)</f>
        <v>222</v>
      </c>
      <c r="L169" s="69">
        <f t="shared" si="230"/>
        <v>222</v>
      </c>
      <c r="M169" s="69">
        <f t="shared" si="230"/>
        <v>222</v>
      </c>
      <c r="N169" s="69">
        <f>M169*(1+N170)</f>
        <v>222</v>
      </c>
    </row>
    <row r="170" spans="1:14" x14ac:dyDescent="0.25">
      <c r="A170" s="82" t="s">
        <v>129</v>
      </c>
      <c r="B170" s="80" t="s">
        <v>225</v>
      </c>
      <c r="C170" s="80">
        <v>0.14666666666666672</v>
      </c>
      <c r="D170" s="80">
        <v>7.7519379844961156E-2</v>
      </c>
      <c r="E170" s="80">
        <v>2.877697841726623E-2</v>
      </c>
      <c r="F170" s="80">
        <v>-2.7972027972028024E-2</v>
      </c>
      <c r="G170" s="80">
        <v>0.57553956834532372</v>
      </c>
      <c r="H170" s="80">
        <v>-0.36529680365296802</v>
      </c>
      <c r="I170" s="80">
        <v>-0.20143884892086328</v>
      </c>
      <c r="J170" s="74">
        <f>J167</f>
        <v>0</v>
      </c>
      <c r="K170" s="74">
        <f t="shared" ref="K170:N170" si="231">K167</f>
        <v>0</v>
      </c>
      <c r="L170" s="74">
        <f t="shared" si="231"/>
        <v>0</v>
      </c>
      <c r="M170" s="74">
        <f t="shared" si="231"/>
        <v>0</v>
      </c>
      <c r="N170" s="74">
        <f t="shared" si="231"/>
        <v>0</v>
      </c>
    </row>
    <row r="171" spans="1:14" x14ac:dyDescent="0.25">
      <c r="A171" s="82" t="s">
        <v>133</v>
      </c>
      <c r="B171" s="80">
        <v>1.9565217391304348</v>
      </c>
      <c r="C171" s="80">
        <v>3.5342465753424657</v>
      </c>
      <c r="D171" s="80">
        <v>3.8082191780821919</v>
      </c>
      <c r="E171" s="80">
        <v>3.25</v>
      </c>
      <c r="F171" s="80">
        <v>6.6190476190476186</v>
      </c>
      <c r="G171" s="80">
        <v>14.6</v>
      </c>
      <c r="H171" s="80">
        <v>11.12</v>
      </c>
      <c r="I171" s="80">
        <v>2.1764705882352939</v>
      </c>
      <c r="J171" s="80">
        <v>2.1764705882352939</v>
      </c>
      <c r="K171" s="80">
        <v>2.1764705882352939</v>
      </c>
      <c r="L171" s="80">
        <v>2.1764705882352939</v>
      </c>
      <c r="M171" s="80">
        <v>2.1764705882352939</v>
      </c>
      <c r="N171" s="80">
        <v>2.1764705882352939</v>
      </c>
    </row>
    <row r="172" spans="1:14" x14ac:dyDescent="0.25">
      <c r="A172" s="75" t="s">
        <v>117</v>
      </c>
      <c r="B172" s="83">
        <v>484</v>
      </c>
      <c r="C172" s="83">
        <v>511</v>
      </c>
      <c r="D172" s="83">
        <v>533</v>
      </c>
      <c r="E172" s="83">
        <v>597</v>
      </c>
      <c r="F172" s="83">
        <v>665</v>
      </c>
      <c r="G172" s="83">
        <v>830</v>
      </c>
      <c r="H172" s="83">
        <v>780</v>
      </c>
      <c r="I172" s="83">
        <v>789</v>
      </c>
      <c r="J172" s="69">
        <f>I172*(1+J173)</f>
        <v>789</v>
      </c>
      <c r="K172" s="69">
        <f t="shared" ref="K172:M172" si="232">J172*(1+K173)</f>
        <v>789</v>
      </c>
      <c r="L172" s="69">
        <f t="shared" si="232"/>
        <v>789</v>
      </c>
      <c r="M172" s="69">
        <f t="shared" si="232"/>
        <v>789</v>
      </c>
      <c r="N172" s="69">
        <f>M172*(1+N173)</f>
        <v>789</v>
      </c>
    </row>
    <row r="173" spans="1:14" x14ac:dyDescent="0.25">
      <c r="A173" s="72" t="s">
        <v>129</v>
      </c>
      <c r="B173" s="80" t="s">
        <v>225</v>
      </c>
      <c r="C173" s="80">
        <v>5.5785123966942241E-2</v>
      </c>
      <c r="D173" s="80">
        <v>4.3052837573385627E-2</v>
      </c>
      <c r="E173" s="80">
        <v>0.12007504690431525</v>
      </c>
      <c r="F173" s="80">
        <v>0.11390284757118918</v>
      </c>
      <c r="G173" s="80">
        <v>0.24812030075187974</v>
      </c>
      <c r="H173" s="80">
        <v>-6.0240963855421659E-2</v>
      </c>
      <c r="I173" s="80">
        <v>1.1538461538461497E-2</v>
      </c>
      <c r="J173" s="80">
        <f>J170</f>
        <v>0</v>
      </c>
      <c r="K173" s="80">
        <f t="shared" ref="K173:N173" si="233">K170</f>
        <v>0</v>
      </c>
      <c r="L173" s="80">
        <f t="shared" si="233"/>
        <v>0</v>
      </c>
      <c r="M173" s="80">
        <f t="shared" si="233"/>
        <v>0</v>
      </c>
      <c r="N173" s="80">
        <f t="shared" si="233"/>
        <v>0</v>
      </c>
    </row>
    <row r="174" spans="1:14" x14ac:dyDescent="0.25">
      <c r="A174" s="72" t="s">
        <v>133</v>
      </c>
      <c r="B174" s="80">
        <v>4.2086956521739127</v>
      </c>
      <c r="C174" s="80">
        <v>7</v>
      </c>
      <c r="D174" s="80">
        <v>7.3013698630136989</v>
      </c>
      <c r="E174" s="80">
        <v>6.7840909090909092</v>
      </c>
      <c r="F174" s="80">
        <v>15.833333333333334</v>
      </c>
      <c r="G174" s="80">
        <v>27.666666666666668</v>
      </c>
      <c r="H174" s="80">
        <v>31.2</v>
      </c>
      <c r="I174" s="80">
        <v>7.7352941176470589</v>
      </c>
      <c r="J174" s="80">
        <v>7.2056536688829933</v>
      </c>
      <c r="K174" s="80">
        <v>6.7122780344492625</v>
      </c>
      <c r="L174" s="80">
        <v>6.2526841397214064</v>
      </c>
      <c r="M174" s="80">
        <v>5.8245589277547598</v>
      </c>
      <c r="N174" s="80">
        <v>5.4257477180670852</v>
      </c>
    </row>
    <row r="175" spans="1:14" x14ac:dyDescent="0.25">
      <c r="A175" s="76" t="s">
        <v>104</v>
      </c>
      <c r="B175" s="76"/>
      <c r="C175" s="76"/>
      <c r="D175" s="76"/>
      <c r="E175" s="76"/>
      <c r="F175" s="76"/>
      <c r="G175" s="76"/>
      <c r="H175" s="76"/>
      <c r="I175" s="76"/>
      <c r="J175" s="77"/>
      <c r="K175" s="77"/>
      <c r="L175" s="77"/>
      <c r="M175" s="77"/>
      <c r="N175" s="77"/>
    </row>
    <row r="176" spans="1:14" x14ac:dyDescent="0.25">
      <c r="A176" s="78" t="s">
        <v>136</v>
      </c>
      <c r="B176" s="78">
        <v>1982</v>
      </c>
      <c r="C176" s="78">
        <v>1955</v>
      </c>
      <c r="D176" s="78">
        <v>2042</v>
      </c>
      <c r="E176" s="78">
        <v>1886</v>
      </c>
      <c r="F176" s="78">
        <v>1906</v>
      </c>
      <c r="G176" s="78">
        <v>1846</v>
      </c>
      <c r="H176" s="78">
        <v>2205</v>
      </c>
      <c r="I176" s="78">
        <v>2346</v>
      </c>
      <c r="J176" s="60">
        <f>I176*(1+J177)</f>
        <v>2346</v>
      </c>
      <c r="K176" s="60">
        <f t="shared" ref="K176:M176" si="234">J176*(1+K177)</f>
        <v>2346</v>
      </c>
      <c r="L176" s="60">
        <f t="shared" si="234"/>
        <v>2346</v>
      </c>
      <c r="M176" s="60">
        <f t="shared" si="234"/>
        <v>2346</v>
      </c>
      <c r="N176" s="60">
        <f>M176*(1+N177)</f>
        <v>2346</v>
      </c>
    </row>
    <row r="177" spans="1:14" x14ac:dyDescent="0.25">
      <c r="A177" s="79" t="s">
        <v>129</v>
      </c>
      <c r="B177" s="80" t="s">
        <v>225</v>
      </c>
      <c r="C177" s="80">
        <v>-1.3622603430877955E-2</v>
      </c>
      <c r="D177" s="80">
        <v>4.4501278772378416E-2</v>
      </c>
      <c r="E177" s="80">
        <v>-7.6395690499510338E-2</v>
      </c>
      <c r="F177" s="80">
        <v>1.0604453870625585E-2</v>
      </c>
      <c r="G177" s="80">
        <v>-3.147953830010497E-2</v>
      </c>
      <c r="H177" s="80">
        <v>0.19447453954496208</v>
      </c>
      <c r="I177" s="80">
        <v>6.3945578231292544E-2</v>
      </c>
      <c r="J177" s="74">
        <f>J146</f>
        <v>0</v>
      </c>
      <c r="K177" s="74">
        <f t="shared" ref="K177:N177" si="235">J177</f>
        <v>0</v>
      </c>
      <c r="L177" s="74">
        <f t="shared" si="235"/>
        <v>0</v>
      </c>
      <c r="M177" s="74">
        <f t="shared" si="235"/>
        <v>0</v>
      </c>
      <c r="N177" s="74">
        <f t="shared" si="235"/>
        <v>0</v>
      </c>
    </row>
    <row r="178" spans="1:14" hidden="1" x14ac:dyDescent="0.25">
      <c r="A178" s="81" t="s">
        <v>113</v>
      </c>
      <c r="B178" s="78"/>
      <c r="C178" s="78"/>
      <c r="D178" s="78"/>
      <c r="E178" s="78"/>
      <c r="F178" s="78"/>
      <c r="G178" s="78"/>
      <c r="H178" s="78"/>
      <c r="I178" s="78"/>
      <c r="J178" s="84"/>
      <c r="K178" s="84"/>
      <c r="L178" s="84"/>
      <c r="M178" s="84"/>
      <c r="N178" s="84"/>
    </row>
    <row r="179" spans="1:14" hidden="1" x14ac:dyDescent="0.25">
      <c r="A179" s="79" t="s">
        <v>129</v>
      </c>
      <c r="B179" s="80"/>
      <c r="C179" s="80"/>
      <c r="D179" s="80"/>
      <c r="E179" s="80"/>
      <c r="F179" s="80"/>
      <c r="G179" s="80"/>
      <c r="H179" s="80"/>
      <c r="I179" s="80"/>
      <c r="J179" s="84"/>
      <c r="K179" s="84"/>
      <c r="L179" s="84"/>
      <c r="M179" s="84"/>
      <c r="N179" s="84"/>
    </row>
    <row r="180" spans="1:14" hidden="1" x14ac:dyDescent="0.25">
      <c r="A180" s="79" t="s">
        <v>137</v>
      </c>
      <c r="B180" s="80"/>
      <c r="C180" s="80"/>
      <c r="D180" s="80"/>
      <c r="E180" s="80"/>
      <c r="F180" s="80"/>
      <c r="G180" s="80"/>
      <c r="H180" s="80"/>
      <c r="I180" s="80"/>
      <c r="J180" s="84"/>
      <c r="K180" s="84"/>
      <c r="L180" s="84"/>
      <c r="M180" s="84"/>
      <c r="N180" s="84"/>
    </row>
    <row r="181" spans="1:14" hidden="1" x14ac:dyDescent="0.25">
      <c r="A181" s="79" t="s">
        <v>138</v>
      </c>
      <c r="B181" s="80"/>
      <c r="C181" s="80"/>
      <c r="D181" s="80"/>
      <c r="E181" s="80"/>
      <c r="F181" s="80"/>
      <c r="G181" s="80"/>
      <c r="H181" s="80"/>
      <c r="I181" s="80"/>
      <c r="J181" s="84"/>
      <c r="K181" s="84"/>
      <c r="L181" s="84"/>
      <c r="M181" s="84"/>
      <c r="N181" s="84"/>
    </row>
    <row r="182" spans="1:14" hidden="1" x14ac:dyDescent="0.25">
      <c r="A182" s="81" t="s">
        <v>114</v>
      </c>
      <c r="B182" s="78"/>
      <c r="C182" s="78"/>
      <c r="D182" s="78"/>
      <c r="E182" s="78"/>
      <c r="F182" s="78"/>
      <c r="G182" s="78"/>
      <c r="H182" s="78"/>
      <c r="I182" s="78"/>
      <c r="J182" s="84"/>
      <c r="K182" s="84"/>
      <c r="L182" s="84"/>
      <c r="M182" s="84"/>
      <c r="N182" s="84"/>
    </row>
    <row r="183" spans="1:14" hidden="1" x14ac:dyDescent="0.25">
      <c r="A183" s="79" t="s">
        <v>129</v>
      </c>
      <c r="B183" s="80"/>
      <c r="C183" s="80"/>
      <c r="D183" s="80"/>
      <c r="E183" s="80"/>
      <c r="F183" s="80"/>
      <c r="G183" s="80"/>
      <c r="H183" s="80"/>
      <c r="I183" s="80"/>
      <c r="J183" s="84"/>
      <c r="K183" s="84"/>
      <c r="L183" s="84"/>
      <c r="M183" s="84"/>
      <c r="N183" s="84"/>
    </row>
    <row r="184" spans="1:14" hidden="1" x14ac:dyDescent="0.25">
      <c r="A184" s="79" t="s">
        <v>137</v>
      </c>
      <c r="B184" s="80"/>
      <c r="C184" s="80"/>
      <c r="D184" s="80"/>
      <c r="E184" s="80"/>
      <c r="F184" s="80"/>
      <c r="G184" s="80"/>
      <c r="H184" s="80"/>
      <c r="I184" s="80"/>
      <c r="J184" s="84"/>
      <c r="K184" s="84"/>
      <c r="L184" s="84"/>
      <c r="M184" s="84"/>
      <c r="N184" s="84"/>
    </row>
    <row r="185" spans="1:14" hidden="1" x14ac:dyDescent="0.25">
      <c r="A185" s="79" t="s">
        <v>138</v>
      </c>
      <c r="B185" s="80"/>
      <c r="C185" s="80"/>
      <c r="D185" s="80"/>
      <c r="E185" s="80"/>
      <c r="F185" s="80"/>
      <c r="G185" s="80"/>
      <c r="H185" s="80"/>
      <c r="I185" s="80"/>
      <c r="J185" s="84"/>
      <c r="K185" s="84"/>
      <c r="L185" s="84"/>
      <c r="M185" s="84"/>
      <c r="N185" s="84"/>
    </row>
    <row r="186" spans="1:14" hidden="1" x14ac:dyDescent="0.25">
      <c r="A186" s="81" t="s">
        <v>115</v>
      </c>
      <c r="B186" s="68"/>
      <c r="C186" s="68"/>
      <c r="D186" s="68"/>
      <c r="E186" s="68"/>
      <c r="F186" s="68"/>
      <c r="G186" s="68"/>
      <c r="H186" s="68"/>
      <c r="I186" s="68"/>
      <c r="J186" s="84"/>
      <c r="K186" s="84"/>
      <c r="L186" s="84"/>
      <c r="M186" s="84"/>
      <c r="N186" s="84"/>
    </row>
    <row r="187" spans="1:14" hidden="1" x14ac:dyDescent="0.25">
      <c r="A187" s="79" t="s">
        <v>129</v>
      </c>
      <c r="B187" s="80"/>
      <c r="C187" s="80"/>
      <c r="D187" s="80"/>
      <c r="E187" s="80"/>
      <c r="F187" s="80"/>
      <c r="G187" s="80"/>
      <c r="H187" s="80"/>
      <c r="I187" s="80"/>
      <c r="J187" s="84"/>
      <c r="K187" s="84"/>
      <c r="L187" s="84"/>
      <c r="M187" s="84"/>
      <c r="N187" s="84"/>
    </row>
    <row r="188" spans="1:14" hidden="1" x14ac:dyDescent="0.25">
      <c r="A188" s="79" t="s">
        <v>137</v>
      </c>
      <c r="B188" s="80"/>
      <c r="C188" s="80"/>
      <c r="D188" s="80"/>
      <c r="E188" s="80"/>
      <c r="F188" s="80"/>
      <c r="G188" s="80"/>
      <c r="H188" s="80"/>
      <c r="I188" s="80"/>
      <c r="J188" s="84"/>
      <c r="K188" s="84"/>
      <c r="L188" s="84"/>
      <c r="M188" s="84"/>
      <c r="N188" s="84"/>
    </row>
    <row r="189" spans="1:14" hidden="1" x14ac:dyDescent="0.25">
      <c r="A189" s="79" t="s">
        <v>138</v>
      </c>
      <c r="B189" s="80"/>
      <c r="C189" s="80"/>
      <c r="D189" s="80"/>
      <c r="E189" s="80"/>
      <c r="F189" s="80"/>
      <c r="G189" s="80"/>
      <c r="H189" s="80"/>
      <c r="I189" s="80"/>
      <c r="J189" s="84"/>
      <c r="K189" s="84"/>
      <c r="L189" s="84"/>
      <c r="M189" s="84"/>
      <c r="N189" s="84"/>
    </row>
    <row r="190" spans="1:14" x14ac:dyDescent="0.25">
      <c r="A190" s="78" t="s">
        <v>130</v>
      </c>
      <c r="B190" s="68">
        <v>535</v>
      </c>
      <c r="C190" s="68">
        <v>514</v>
      </c>
      <c r="D190" s="68">
        <v>505</v>
      </c>
      <c r="E190" s="68">
        <v>343</v>
      </c>
      <c r="F190" s="68">
        <v>334</v>
      </c>
      <c r="G190" s="68">
        <v>322</v>
      </c>
      <c r="H190" s="68">
        <v>569</v>
      </c>
      <c r="I190" s="68">
        <v>691</v>
      </c>
      <c r="J190" s="69">
        <f>I190*(1+J191)</f>
        <v>691</v>
      </c>
      <c r="K190" s="69">
        <f t="shared" ref="K190:N190" si="236">J190*(1+K191)</f>
        <v>691</v>
      </c>
      <c r="L190" s="69">
        <f t="shared" si="236"/>
        <v>691</v>
      </c>
      <c r="M190" s="69">
        <f t="shared" si="236"/>
        <v>691</v>
      </c>
      <c r="N190" s="69">
        <f t="shared" si="236"/>
        <v>691</v>
      </c>
    </row>
    <row r="191" spans="1:14" x14ac:dyDescent="0.25">
      <c r="A191" s="82" t="s">
        <v>129</v>
      </c>
      <c r="B191" s="80" t="s">
        <v>225</v>
      </c>
      <c r="C191" s="80">
        <v>-3.9252336448598157E-2</v>
      </c>
      <c r="D191" s="80">
        <v>-1.7509727626459193E-2</v>
      </c>
      <c r="E191" s="80">
        <v>-0.32079207920792074</v>
      </c>
      <c r="F191" s="80">
        <v>-2.6239067055393583E-2</v>
      </c>
      <c r="G191" s="80">
        <v>-3.59281437125748E-2</v>
      </c>
      <c r="H191" s="80">
        <v>0.76708074534161486</v>
      </c>
      <c r="I191" s="80">
        <v>0.21441124780316345</v>
      </c>
      <c r="J191" s="74">
        <f>J177</f>
        <v>0</v>
      </c>
      <c r="K191" s="74">
        <f t="shared" ref="K191:N191" si="237">K177</f>
        <v>0</v>
      </c>
      <c r="L191" s="74">
        <f t="shared" si="237"/>
        <v>0</v>
      </c>
      <c r="M191" s="74">
        <f t="shared" si="237"/>
        <v>0</v>
      </c>
      <c r="N191" s="74">
        <f t="shared" si="237"/>
        <v>0</v>
      </c>
    </row>
    <row r="192" spans="1:14" x14ac:dyDescent="0.25">
      <c r="A192" s="82" t="s">
        <v>131</v>
      </c>
      <c r="B192" s="80">
        <v>0.26992936427850656</v>
      </c>
      <c r="C192" s="80">
        <v>0.26291560102301792</v>
      </c>
      <c r="D192" s="80">
        <v>0.24730656219392752</v>
      </c>
      <c r="E192" s="80">
        <v>0.18186638388123011</v>
      </c>
      <c r="F192" s="80">
        <v>0.17523609653725078</v>
      </c>
      <c r="G192" s="80">
        <v>0.17443120260021669</v>
      </c>
      <c r="H192" s="80">
        <v>0.25804988662131517</v>
      </c>
      <c r="I192" s="80">
        <v>0.29454390451832907</v>
      </c>
      <c r="J192" s="80">
        <v>0.29454390451832907</v>
      </c>
      <c r="K192" s="80">
        <v>0.29454390451832907</v>
      </c>
      <c r="L192" s="80">
        <v>0.29454390451832907</v>
      </c>
      <c r="M192" s="80">
        <v>0.29454390451832907</v>
      </c>
      <c r="N192" s="80">
        <v>0.29454390451832907</v>
      </c>
    </row>
    <row r="193" spans="1:14" x14ac:dyDescent="0.25">
      <c r="A193" s="78" t="s">
        <v>132</v>
      </c>
      <c r="B193" s="68">
        <v>18</v>
      </c>
      <c r="C193" s="68">
        <v>27</v>
      </c>
      <c r="D193" s="68">
        <v>28</v>
      </c>
      <c r="E193" s="68">
        <v>33</v>
      </c>
      <c r="F193" s="68">
        <v>31</v>
      </c>
      <c r="G193" s="68">
        <v>25</v>
      </c>
      <c r="H193" s="68">
        <v>26</v>
      </c>
      <c r="I193" s="68">
        <v>22</v>
      </c>
      <c r="J193" s="69">
        <f>I193*(1+J194)</f>
        <v>22</v>
      </c>
      <c r="K193" s="69">
        <f t="shared" ref="K193:N193" si="238">J193*(1+K194)</f>
        <v>22</v>
      </c>
      <c r="L193" s="69">
        <f t="shared" si="238"/>
        <v>22</v>
      </c>
      <c r="M193" s="69">
        <f t="shared" si="238"/>
        <v>22</v>
      </c>
      <c r="N193" s="69">
        <f t="shared" si="238"/>
        <v>22</v>
      </c>
    </row>
    <row r="194" spans="1:14" x14ac:dyDescent="0.25">
      <c r="A194" s="82" t="s">
        <v>129</v>
      </c>
      <c r="B194" s="80" t="s">
        <v>225</v>
      </c>
      <c r="C194" s="80">
        <v>0.5</v>
      </c>
      <c r="D194" s="80">
        <v>3.7037037037036979E-2</v>
      </c>
      <c r="E194" s="80">
        <v>0.1785714285714286</v>
      </c>
      <c r="F194" s="80">
        <v>-6.0606060606060552E-2</v>
      </c>
      <c r="G194" s="80">
        <v>-0.19354838709677424</v>
      </c>
      <c r="H194" s="80">
        <v>4.0000000000000036E-2</v>
      </c>
      <c r="I194" s="80">
        <v>-0.15384615384615385</v>
      </c>
      <c r="J194" s="71">
        <f>J191</f>
        <v>0</v>
      </c>
      <c r="K194" s="71">
        <f t="shared" ref="K194:N194" si="239">K191</f>
        <v>0</v>
      </c>
      <c r="L194" s="71">
        <f t="shared" si="239"/>
        <v>0</v>
      </c>
      <c r="M194" s="71">
        <f t="shared" si="239"/>
        <v>0</v>
      </c>
      <c r="N194" s="71">
        <f t="shared" si="239"/>
        <v>0</v>
      </c>
    </row>
    <row r="195" spans="1:14" x14ac:dyDescent="0.25">
      <c r="A195" s="82" t="s">
        <v>133</v>
      </c>
      <c r="B195" s="80">
        <v>9.0817356205852677E-3</v>
      </c>
      <c r="C195" s="80">
        <v>1.3810741687979539E-2</v>
      </c>
      <c r="D195" s="80">
        <v>1.3712047012732615E-2</v>
      </c>
      <c r="E195" s="80">
        <v>1.7497348886532343E-2</v>
      </c>
      <c r="F195" s="80">
        <v>1.6264428121720881E-2</v>
      </c>
      <c r="G195" s="80">
        <v>1.3542795232936078E-2</v>
      </c>
      <c r="H195" s="80">
        <v>1.1791383219954649E-2</v>
      </c>
      <c r="I195" s="80">
        <v>9.3776641091219103E-3</v>
      </c>
      <c r="J195" s="80">
        <v>9.3776641091219103E-3</v>
      </c>
      <c r="K195" s="80">
        <v>9.3776641091219103E-3</v>
      </c>
      <c r="L195" s="80">
        <v>9.3776641091219103E-3</v>
      </c>
      <c r="M195" s="80">
        <v>9.3776641091219103E-3</v>
      </c>
      <c r="N195" s="80">
        <v>9.3776641091219103E-3</v>
      </c>
    </row>
    <row r="196" spans="1:14" x14ac:dyDescent="0.25">
      <c r="A196" s="82" t="s">
        <v>140</v>
      </c>
      <c r="B196" s="80">
        <v>0.14754098360655737</v>
      </c>
      <c r="C196" s="80">
        <v>0.216</v>
      </c>
      <c r="D196" s="80">
        <v>0.224</v>
      </c>
      <c r="E196" s="80">
        <v>0.28695652173913044</v>
      </c>
      <c r="F196" s="80">
        <v>0.31</v>
      </c>
      <c r="G196" s="80">
        <v>0.3125</v>
      </c>
      <c r="H196" s="80">
        <v>0.41269841269841268</v>
      </c>
      <c r="I196" s="80">
        <v>0.44897959183673469</v>
      </c>
      <c r="J196" s="80">
        <v>0.44289126158068209</v>
      </c>
      <c r="K196" s="80">
        <v>0.43688549134735827</v>
      </c>
      <c r="L196" s="80">
        <v>0.43096116159214809</v>
      </c>
      <c r="M196" s="80">
        <v>0.42511716795187782</v>
      </c>
      <c r="N196" s="80">
        <v>0.4193524210389491</v>
      </c>
    </row>
    <row r="197" spans="1:14" x14ac:dyDescent="0.25">
      <c r="A197" s="78" t="s">
        <v>134</v>
      </c>
      <c r="B197" s="68">
        <v>517</v>
      </c>
      <c r="C197" s="68">
        <v>487</v>
      </c>
      <c r="D197" s="68">
        <v>477</v>
      </c>
      <c r="E197" s="68">
        <v>310</v>
      </c>
      <c r="F197" s="68">
        <v>303</v>
      </c>
      <c r="G197" s="68">
        <v>297</v>
      </c>
      <c r="H197" s="68">
        <v>543</v>
      </c>
      <c r="I197" s="68">
        <v>669</v>
      </c>
      <c r="J197" s="69">
        <f>I197*(1+J198)</f>
        <v>669</v>
      </c>
      <c r="K197" s="69">
        <f t="shared" ref="K197:N197" si="240">J197*(1+K198)</f>
        <v>669</v>
      </c>
      <c r="L197" s="69">
        <f t="shared" si="240"/>
        <v>669</v>
      </c>
      <c r="M197" s="69">
        <f t="shared" si="240"/>
        <v>669</v>
      </c>
      <c r="N197" s="69">
        <f t="shared" si="240"/>
        <v>669</v>
      </c>
    </row>
    <row r="198" spans="1:14" x14ac:dyDescent="0.25">
      <c r="A198" s="82" t="s">
        <v>129</v>
      </c>
      <c r="B198" s="80" t="s">
        <v>225</v>
      </c>
      <c r="C198" s="80">
        <v>-5.8027079303675011E-2</v>
      </c>
      <c r="D198" s="80">
        <v>-2.0533880903490731E-2</v>
      </c>
      <c r="E198" s="80">
        <v>-0.35010482180293501</v>
      </c>
      <c r="F198" s="80">
        <v>-2.2580645161290325E-2</v>
      </c>
      <c r="G198" s="80">
        <v>-1.980198019801982E-2</v>
      </c>
      <c r="H198" s="80">
        <v>0.82828282828282829</v>
      </c>
      <c r="I198" s="80">
        <v>0.2320441988950277</v>
      </c>
      <c r="J198" s="74">
        <f>J194</f>
        <v>0</v>
      </c>
      <c r="K198" s="74">
        <f t="shared" ref="K198:N198" si="241">K194</f>
        <v>0</v>
      </c>
      <c r="L198" s="74">
        <f t="shared" si="241"/>
        <v>0</v>
      </c>
      <c r="M198" s="74">
        <f t="shared" si="241"/>
        <v>0</v>
      </c>
      <c r="N198" s="74">
        <f t="shared" si="241"/>
        <v>0</v>
      </c>
    </row>
    <row r="199" spans="1:14" x14ac:dyDescent="0.25">
      <c r="A199" s="82" t="s">
        <v>131</v>
      </c>
      <c r="B199" s="80">
        <v>0.26084762865792127</v>
      </c>
      <c r="C199" s="80">
        <v>0.24910485933503837</v>
      </c>
      <c r="D199" s="80">
        <v>0.23359451518119489</v>
      </c>
      <c r="E199" s="80">
        <v>0.16436903499469777</v>
      </c>
      <c r="F199" s="80">
        <v>0.1589716684155299</v>
      </c>
      <c r="G199" s="80">
        <v>0.16088840736728061</v>
      </c>
      <c r="H199" s="80">
        <v>0.24625850340136055</v>
      </c>
      <c r="I199" s="80">
        <v>0.28516624040920718</v>
      </c>
      <c r="J199" s="80">
        <v>0.28516624040920718</v>
      </c>
      <c r="K199" s="80">
        <v>0.28516624040920718</v>
      </c>
      <c r="L199" s="80">
        <v>0.28516624040920718</v>
      </c>
      <c r="M199" s="80">
        <v>0.28516624040920718</v>
      </c>
      <c r="N199" s="80">
        <v>0.28516624040920718</v>
      </c>
    </row>
    <row r="200" spans="1:14" x14ac:dyDescent="0.25">
      <c r="A200" s="78" t="s">
        <v>135</v>
      </c>
      <c r="B200" s="68">
        <v>69</v>
      </c>
      <c r="C200" s="68">
        <v>39</v>
      </c>
      <c r="D200" s="68">
        <v>30</v>
      </c>
      <c r="E200" s="68">
        <v>22</v>
      </c>
      <c r="F200" s="68">
        <v>18</v>
      </c>
      <c r="G200" s="68">
        <v>12</v>
      </c>
      <c r="H200" s="68">
        <v>7</v>
      </c>
      <c r="I200" s="68">
        <v>9</v>
      </c>
      <c r="J200" s="69">
        <f>I200*(1+J201)</f>
        <v>9</v>
      </c>
      <c r="K200" s="69">
        <f t="shared" ref="K200:N200" si="242">J200*(1+K201)</f>
        <v>9</v>
      </c>
      <c r="L200" s="69">
        <f t="shared" si="242"/>
        <v>9</v>
      </c>
      <c r="M200" s="69">
        <f t="shared" si="242"/>
        <v>9</v>
      </c>
      <c r="N200" s="69">
        <f t="shared" si="242"/>
        <v>9</v>
      </c>
    </row>
    <row r="201" spans="1:14" x14ac:dyDescent="0.25">
      <c r="A201" s="82" t="s">
        <v>129</v>
      </c>
      <c r="B201" s="80" t="s">
        <v>225</v>
      </c>
      <c r="C201" s="80">
        <v>-0.43478260869565222</v>
      </c>
      <c r="D201" s="80">
        <v>-0.23076923076923073</v>
      </c>
      <c r="E201" s="80">
        <v>-0.26666666666666672</v>
      </c>
      <c r="F201" s="80">
        <v>-0.18181818181818177</v>
      </c>
      <c r="G201" s="80">
        <v>-0.33333333333333337</v>
      </c>
      <c r="H201" s="80">
        <v>-0.41666666666666663</v>
      </c>
      <c r="I201" s="80">
        <v>0.28571428571428581</v>
      </c>
      <c r="J201" s="74">
        <f>J198</f>
        <v>0</v>
      </c>
      <c r="K201" s="74">
        <f t="shared" ref="K201:N201" si="243">K198</f>
        <v>0</v>
      </c>
      <c r="L201" s="74">
        <f t="shared" si="243"/>
        <v>0</v>
      </c>
      <c r="M201" s="74">
        <f t="shared" si="243"/>
        <v>0</v>
      </c>
      <c r="N201" s="74">
        <f t="shared" si="243"/>
        <v>0</v>
      </c>
    </row>
    <row r="202" spans="1:14" x14ac:dyDescent="0.25">
      <c r="A202" s="82" t="s">
        <v>133</v>
      </c>
      <c r="B202" s="80">
        <v>3.481331987891019E-2</v>
      </c>
      <c r="C202" s="80">
        <v>1.9948849104859334E-2</v>
      </c>
      <c r="D202" s="80">
        <v>1.4691478942213516E-2</v>
      </c>
      <c r="E202" s="80">
        <v>1.166489925768823E-2</v>
      </c>
      <c r="F202" s="80">
        <v>9.4438614900314802E-3</v>
      </c>
      <c r="G202" s="80">
        <v>6.5005417118093175E-3</v>
      </c>
      <c r="H202" s="80">
        <v>3.1746031746031746E-3</v>
      </c>
      <c r="I202" s="80">
        <v>3.8363171355498722E-3</v>
      </c>
      <c r="J202" s="80">
        <v>3.8363171355498722E-3</v>
      </c>
      <c r="K202" s="80">
        <v>3.8363171355498722E-3</v>
      </c>
      <c r="L202" s="80">
        <v>3.8363171355498722E-3</v>
      </c>
      <c r="M202" s="80">
        <v>3.8363171355498722E-3</v>
      </c>
      <c r="N202" s="80">
        <v>3.8363171355498722E-3</v>
      </c>
    </row>
    <row r="203" spans="1:14" x14ac:dyDescent="0.25">
      <c r="A203" s="75" t="s">
        <v>117</v>
      </c>
      <c r="B203" s="83">
        <v>122</v>
      </c>
      <c r="C203" s="83">
        <v>125</v>
      </c>
      <c r="D203" s="83">
        <v>125</v>
      </c>
      <c r="E203" s="83">
        <v>115</v>
      </c>
      <c r="F203" s="83">
        <v>100</v>
      </c>
      <c r="G203" s="83">
        <v>80</v>
      </c>
      <c r="H203" s="83">
        <v>63</v>
      </c>
      <c r="I203" s="83">
        <v>49</v>
      </c>
      <c r="J203" s="69">
        <f>I203*(1+J204)</f>
        <v>49</v>
      </c>
      <c r="K203" s="69">
        <f t="shared" ref="K203:N203" si="244">J203*(1+K204)</f>
        <v>49</v>
      </c>
      <c r="L203" s="69">
        <f t="shared" si="244"/>
        <v>49</v>
      </c>
      <c r="M203" s="69">
        <f t="shared" si="244"/>
        <v>49</v>
      </c>
      <c r="N203" s="69">
        <f t="shared" si="244"/>
        <v>49</v>
      </c>
    </row>
    <row r="204" spans="1:14" x14ac:dyDescent="0.25">
      <c r="A204" s="72" t="s">
        <v>129</v>
      </c>
      <c r="B204" s="80" t="s">
        <v>225</v>
      </c>
      <c r="C204" s="80">
        <v>2.4590163934426146E-2</v>
      </c>
      <c r="D204" s="80">
        <v>0</v>
      </c>
      <c r="E204" s="80">
        <v>-7.999999999999996E-2</v>
      </c>
      <c r="F204" s="80">
        <v>-0.13043478260869568</v>
      </c>
      <c r="G204" s="80">
        <v>-0.19999999999999996</v>
      </c>
      <c r="H204" s="80">
        <v>-0.21250000000000002</v>
      </c>
      <c r="I204" s="80">
        <v>-0.22222222222222221</v>
      </c>
      <c r="J204" s="80">
        <f>J201</f>
        <v>0</v>
      </c>
      <c r="K204" s="80">
        <f t="shared" ref="K204:N204" si="245">K201</f>
        <v>0</v>
      </c>
      <c r="L204" s="80">
        <f t="shared" si="245"/>
        <v>0</v>
      </c>
      <c r="M204" s="80">
        <f t="shared" si="245"/>
        <v>0</v>
      </c>
      <c r="N204" s="80">
        <f t="shared" si="245"/>
        <v>0</v>
      </c>
    </row>
    <row r="205" spans="1:14" x14ac:dyDescent="0.25">
      <c r="A205" s="72" t="s">
        <v>133</v>
      </c>
      <c r="B205" s="80">
        <v>6.1553985872855703E-2</v>
      </c>
      <c r="C205" s="80">
        <v>6.3938618925831206E-2</v>
      </c>
      <c r="D205" s="80">
        <v>6.1214495592556317E-2</v>
      </c>
      <c r="E205" s="80">
        <v>6.097560975609756E-2</v>
      </c>
      <c r="F205" s="80">
        <v>5.2465897166841552E-2</v>
      </c>
      <c r="G205" s="80">
        <v>4.3336944745395449E-2</v>
      </c>
      <c r="H205" s="80">
        <v>2.8571428571428571E-2</v>
      </c>
      <c r="I205" s="80">
        <v>2.0886615515771527E-2</v>
      </c>
      <c r="J205" s="80">
        <v>1.9456495827148656E-2</v>
      </c>
      <c r="K205" s="80">
        <v>1.8124297332231986E-2</v>
      </c>
      <c r="L205" s="80">
        <v>1.6883315305358953E-2</v>
      </c>
      <c r="M205" s="80">
        <v>1.5727304097646069E-2</v>
      </c>
      <c r="N205" s="80">
        <v>1.4650445703713407E-2</v>
      </c>
    </row>
    <row r="206" spans="1:14" x14ac:dyDescent="0.25">
      <c r="A206" s="76" t="s">
        <v>108</v>
      </c>
      <c r="B206" s="76"/>
      <c r="C206" s="76"/>
      <c r="D206" s="76"/>
      <c r="E206" s="76"/>
      <c r="F206" s="76"/>
      <c r="G206" s="76"/>
      <c r="H206" s="76"/>
      <c r="I206" s="76"/>
      <c r="J206" s="77"/>
      <c r="K206" s="77"/>
      <c r="L206" s="77"/>
      <c r="M206" s="77"/>
      <c r="N206" s="77"/>
    </row>
    <row r="207" spans="1:14" x14ac:dyDescent="0.25">
      <c r="A207" s="78" t="s">
        <v>136</v>
      </c>
      <c r="B207" s="78">
        <v>-82</v>
      </c>
      <c r="C207" s="78">
        <v>-86</v>
      </c>
      <c r="D207" s="78">
        <v>75</v>
      </c>
      <c r="E207" s="78">
        <v>26</v>
      </c>
      <c r="F207" s="78">
        <v>-7</v>
      </c>
      <c r="G207" s="78">
        <v>-11</v>
      </c>
      <c r="H207" s="78">
        <v>40</v>
      </c>
      <c r="I207" s="78">
        <v>-72</v>
      </c>
      <c r="J207" s="60">
        <f>I207*(1+J208)</f>
        <v>-72</v>
      </c>
      <c r="K207" s="60">
        <f t="shared" ref="K207:M207" si="246">J207*(1+K208)</f>
        <v>-72</v>
      </c>
      <c r="L207" s="60">
        <f>K207*(1+L208)</f>
        <v>-72</v>
      </c>
      <c r="M207" s="60">
        <f t="shared" si="246"/>
        <v>-72</v>
      </c>
      <c r="N207" s="60">
        <f>M207*(1+N208)</f>
        <v>-72</v>
      </c>
    </row>
    <row r="208" spans="1:14" x14ac:dyDescent="0.25">
      <c r="A208" s="79" t="s">
        <v>129</v>
      </c>
      <c r="B208" s="80" t="s">
        <v>225</v>
      </c>
      <c r="C208" s="80">
        <v>4.8780487804878092E-2</v>
      </c>
      <c r="D208" s="80">
        <v>-1.8720930232558139</v>
      </c>
      <c r="E208" s="80">
        <v>-0.65333333333333332</v>
      </c>
      <c r="F208" s="80">
        <v>-1.2692307692307692</v>
      </c>
      <c r="G208" s="80">
        <v>0.5714285714285714</v>
      </c>
      <c r="H208" s="80">
        <v>-4.6363636363636367</v>
      </c>
      <c r="I208" s="80">
        <v>-2.8</v>
      </c>
      <c r="J208" s="74">
        <f>J177</f>
        <v>0</v>
      </c>
      <c r="K208" s="74">
        <f t="shared" ref="K208:N208" si="247">J208</f>
        <v>0</v>
      </c>
      <c r="L208" s="74">
        <f t="shared" si="247"/>
        <v>0</v>
      </c>
      <c r="M208" s="74">
        <f t="shared" si="247"/>
        <v>0</v>
      </c>
      <c r="N208" s="74">
        <f t="shared" si="247"/>
        <v>0</v>
      </c>
    </row>
    <row r="209" spans="1:14" hidden="1" x14ac:dyDescent="0.25">
      <c r="A209" s="81" t="s">
        <v>113</v>
      </c>
      <c r="B209" s="78"/>
      <c r="C209" s="78"/>
      <c r="D209" s="78"/>
      <c r="E209" s="78"/>
      <c r="F209" s="78"/>
      <c r="G209" s="78"/>
      <c r="H209" s="78"/>
      <c r="I209" s="78"/>
      <c r="J209" s="84"/>
      <c r="K209" s="84"/>
      <c r="L209" s="84"/>
      <c r="M209" s="84"/>
      <c r="N209" s="84"/>
    </row>
    <row r="210" spans="1:14" hidden="1" x14ac:dyDescent="0.25">
      <c r="A210" s="79" t="s">
        <v>129</v>
      </c>
      <c r="B210" s="80"/>
      <c r="C210" s="80"/>
      <c r="D210" s="80"/>
      <c r="E210" s="80"/>
      <c r="F210" s="80"/>
      <c r="G210" s="80"/>
      <c r="H210" s="80"/>
      <c r="I210" s="80"/>
      <c r="J210" s="84"/>
      <c r="K210" s="84"/>
      <c r="L210" s="84"/>
      <c r="M210" s="84"/>
      <c r="N210" s="84"/>
    </row>
    <row r="211" spans="1:14" hidden="1" x14ac:dyDescent="0.25">
      <c r="A211" s="79" t="s">
        <v>137</v>
      </c>
      <c r="B211" s="80"/>
      <c r="C211" s="80"/>
      <c r="D211" s="80"/>
      <c r="E211" s="80"/>
      <c r="F211" s="80"/>
      <c r="G211" s="80"/>
      <c r="H211" s="80"/>
      <c r="I211" s="80"/>
      <c r="J211" s="84"/>
      <c r="K211" s="84"/>
      <c r="L211" s="84"/>
      <c r="M211" s="84"/>
      <c r="N211" s="84"/>
    </row>
    <row r="212" spans="1:14" hidden="1" x14ac:dyDescent="0.25">
      <c r="A212" s="79" t="s">
        <v>138</v>
      </c>
      <c r="B212" s="80"/>
      <c r="C212" s="80"/>
      <c r="D212" s="80"/>
      <c r="E212" s="80"/>
      <c r="F212" s="80"/>
      <c r="G212" s="80"/>
      <c r="H212" s="80"/>
      <c r="I212" s="80"/>
      <c r="J212" s="84"/>
      <c r="K212" s="84"/>
      <c r="L212" s="84"/>
      <c r="M212" s="84"/>
      <c r="N212" s="84"/>
    </row>
    <row r="213" spans="1:14" hidden="1" x14ac:dyDescent="0.25">
      <c r="A213" s="81" t="s">
        <v>114</v>
      </c>
      <c r="B213" s="78"/>
      <c r="C213" s="78"/>
      <c r="D213" s="78"/>
      <c r="E213" s="78"/>
      <c r="F213" s="78"/>
      <c r="G213" s="78"/>
      <c r="H213" s="78"/>
      <c r="I213" s="78"/>
      <c r="J213" s="84"/>
      <c r="K213" s="84"/>
      <c r="L213" s="84"/>
      <c r="M213" s="84"/>
      <c r="N213" s="84"/>
    </row>
    <row r="214" spans="1:14" hidden="1" x14ac:dyDescent="0.25">
      <c r="A214" s="79" t="s">
        <v>129</v>
      </c>
      <c r="B214" s="80"/>
      <c r="C214" s="80"/>
      <c r="D214" s="80"/>
      <c r="E214" s="80"/>
      <c r="F214" s="80"/>
      <c r="G214" s="80"/>
      <c r="H214" s="80"/>
      <c r="I214" s="80"/>
      <c r="J214" s="84"/>
      <c r="K214" s="84"/>
      <c r="L214" s="84"/>
      <c r="M214" s="84"/>
      <c r="N214" s="84"/>
    </row>
    <row r="215" spans="1:14" hidden="1" x14ac:dyDescent="0.25">
      <c r="A215" s="79" t="s">
        <v>137</v>
      </c>
      <c r="B215" s="80"/>
      <c r="C215" s="80"/>
      <c r="D215" s="80"/>
      <c r="E215" s="80"/>
      <c r="F215" s="80"/>
      <c r="G215" s="80"/>
      <c r="H215" s="80"/>
      <c r="I215" s="80"/>
      <c r="J215" s="84"/>
      <c r="K215" s="84"/>
      <c r="L215" s="84"/>
      <c r="M215" s="84"/>
      <c r="N215" s="84"/>
    </row>
    <row r="216" spans="1:14" hidden="1" x14ac:dyDescent="0.25">
      <c r="A216" s="79" t="s">
        <v>138</v>
      </c>
      <c r="B216" s="80"/>
      <c r="C216" s="80"/>
      <c r="D216" s="80"/>
      <c r="E216" s="80"/>
      <c r="F216" s="80"/>
      <c r="G216" s="80"/>
      <c r="H216" s="80"/>
      <c r="I216" s="80"/>
      <c r="J216" s="84"/>
      <c r="K216" s="84"/>
      <c r="L216" s="84"/>
      <c r="M216" s="84"/>
      <c r="N216" s="84"/>
    </row>
    <row r="217" spans="1:14" hidden="1" x14ac:dyDescent="0.25">
      <c r="A217" s="81" t="s">
        <v>115</v>
      </c>
      <c r="B217" s="68"/>
      <c r="C217" s="68"/>
      <c r="D217" s="68"/>
      <c r="E217" s="68"/>
      <c r="F217" s="68"/>
      <c r="G217" s="68"/>
      <c r="H217" s="68"/>
      <c r="I217" s="68"/>
      <c r="J217" s="84"/>
      <c r="K217" s="84"/>
      <c r="L217" s="84"/>
      <c r="M217" s="84"/>
      <c r="N217" s="84"/>
    </row>
    <row r="218" spans="1:14" hidden="1" x14ac:dyDescent="0.25">
      <c r="A218" s="79" t="s">
        <v>129</v>
      </c>
      <c r="B218" s="80"/>
      <c r="C218" s="80"/>
      <c r="D218" s="80"/>
      <c r="E218" s="80"/>
      <c r="F218" s="80"/>
      <c r="G218" s="80"/>
      <c r="H218" s="80"/>
      <c r="I218" s="80"/>
      <c r="J218" s="84"/>
      <c r="K218" s="84"/>
      <c r="L218" s="84"/>
      <c r="M218" s="84"/>
      <c r="N218" s="84"/>
    </row>
    <row r="219" spans="1:14" hidden="1" x14ac:dyDescent="0.25">
      <c r="A219" s="79" t="s">
        <v>137</v>
      </c>
      <c r="B219" s="80"/>
      <c r="C219" s="80"/>
      <c r="D219" s="80"/>
      <c r="E219" s="80"/>
      <c r="F219" s="80"/>
      <c r="G219" s="80"/>
      <c r="H219" s="80"/>
      <c r="I219" s="80"/>
      <c r="J219" s="84"/>
      <c r="K219" s="84"/>
      <c r="L219" s="84"/>
      <c r="M219" s="84"/>
      <c r="N219" s="84"/>
    </row>
    <row r="220" spans="1:14" hidden="1" x14ac:dyDescent="0.25">
      <c r="A220" s="79" t="s">
        <v>138</v>
      </c>
      <c r="B220" s="80"/>
      <c r="C220" s="80"/>
      <c r="D220" s="80"/>
      <c r="E220" s="80"/>
      <c r="F220" s="80"/>
      <c r="G220" s="80"/>
      <c r="H220" s="80"/>
      <c r="I220" s="80"/>
      <c r="J220" s="84"/>
      <c r="K220" s="84"/>
      <c r="L220" s="84"/>
      <c r="M220" s="84"/>
      <c r="N220" s="84"/>
    </row>
    <row r="221" spans="1:14" x14ac:dyDescent="0.25">
      <c r="A221" s="78" t="s">
        <v>130</v>
      </c>
      <c r="B221" s="68">
        <v>-1026</v>
      </c>
      <c r="C221" s="68">
        <v>-1089</v>
      </c>
      <c r="D221" s="68">
        <v>-633</v>
      </c>
      <c r="E221" s="68">
        <v>-1346</v>
      </c>
      <c r="F221" s="68">
        <v>-1694</v>
      </c>
      <c r="G221" s="68">
        <v>-1855</v>
      </c>
      <c r="H221" s="68">
        <v>-2120</v>
      </c>
      <c r="I221" s="68">
        <v>-2085</v>
      </c>
      <c r="J221" s="69">
        <f>I221*(1+J222)</f>
        <v>-2085</v>
      </c>
      <c r="K221" s="69">
        <f t="shared" ref="K221:N221" si="248">J221*(1+K222)</f>
        <v>-2085</v>
      </c>
      <c r="L221" s="69">
        <f t="shared" si="248"/>
        <v>-2085</v>
      </c>
      <c r="M221" s="69">
        <f t="shared" si="248"/>
        <v>-2085</v>
      </c>
      <c r="N221" s="69">
        <f t="shared" si="248"/>
        <v>-2085</v>
      </c>
    </row>
    <row r="222" spans="1:14" x14ac:dyDescent="0.25">
      <c r="A222" s="82" t="s">
        <v>129</v>
      </c>
      <c r="B222" s="80" t="s">
        <v>225</v>
      </c>
      <c r="C222" s="80">
        <v>6.1403508771929793E-2</v>
      </c>
      <c r="D222" s="80">
        <v>-0.41873278236914602</v>
      </c>
      <c r="E222" s="80">
        <v>1.126382306477093</v>
      </c>
      <c r="F222" s="80">
        <v>0.25854383358098065</v>
      </c>
      <c r="G222" s="80">
        <v>9.5041322314049603E-2</v>
      </c>
      <c r="H222" s="80">
        <v>0.14285714285714279</v>
      </c>
      <c r="I222" s="80">
        <v>-1.650943396226412E-2</v>
      </c>
      <c r="J222" s="74">
        <f>J208</f>
        <v>0</v>
      </c>
      <c r="K222" s="74">
        <f t="shared" ref="K222:N222" si="249">K208</f>
        <v>0</v>
      </c>
      <c r="L222" s="74">
        <f t="shared" si="249"/>
        <v>0</v>
      </c>
      <c r="M222" s="74">
        <f t="shared" si="249"/>
        <v>0</v>
      </c>
      <c r="N222" s="74">
        <f t="shared" si="249"/>
        <v>0</v>
      </c>
    </row>
    <row r="223" spans="1:14" x14ac:dyDescent="0.25">
      <c r="A223" s="82" t="s">
        <v>131</v>
      </c>
      <c r="B223" s="80">
        <v>12.512195121951219</v>
      </c>
      <c r="C223" s="80">
        <v>12.662790697674419</v>
      </c>
      <c r="D223" s="80">
        <v>-8.44</v>
      </c>
      <c r="E223" s="80">
        <v>-51.769230769230766</v>
      </c>
      <c r="F223" s="80">
        <v>242</v>
      </c>
      <c r="G223" s="80">
        <v>168.63636363636363</v>
      </c>
      <c r="H223" s="80">
        <v>-53</v>
      </c>
      <c r="I223" s="80">
        <v>28.958333333333332</v>
      </c>
      <c r="J223" s="80">
        <v>28.958333333333332</v>
      </c>
      <c r="K223" s="80">
        <v>28.958333333333332</v>
      </c>
      <c r="L223" s="80">
        <v>28.958333333333332</v>
      </c>
      <c r="M223" s="80">
        <v>28.958333333333332</v>
      </c>
      <c r="N223" s="80">
        <v>28.958333333333332</v>
      </c>
    </row>
    <row r="224" spans="1:14" x14ac:dyDescent="0.25">
      <c r="A224" s="78" t="s">
        <v>132</v>
      </c>
      <c r="B224" s="68">
        <v>75</v>
      </c>
      <c r="C224" s="68">
        <v>84</v>
      </c>
      <c r="D224" s="68">
        <v>91</v>
      </c>
      <c r="E224" s="68">
        <v>110</v>
      </c>
      <c r="F224" s="68">
        <v>116</v>
      </c>
      <c r="G224" s="68">
        <v>112</v>
      </c>
      <c r="H224" s="68">
        <v>141</v>
      </c>
      <c r="I224" s="68">
        <v>134</v>
      </c>
      <c r="J224" s="69">
        <f>I224*(1+J225)</f>
        <v>134</v>
      </c>
      <c r="K224" s="69">
        <f t="shared" ref="K224:N224" si="250">J224*(1+K225)</f>
        <v>134</v>
      </c>
      <c r="L224" s="69">
        <f t="shared" si="250"/>
        <v>134</v>
      </c>
      <c r="M224" s="69">
        <f t="shared" si="250"/>
        <v>134</v>
      </c>
      <c r="N224" s="69">
        <f t="shared" si="250"/>
        <v>134</v>
      </c>
    </row>
    <row r="225" spans="1:14" x14ac:dyDescent="0.25">
      <c r="A225" s="82" t="s">
        <v>129</v>
      </c>
      <c r="B225" s="80" t="s">
        <v>225</v>
      </c>
      <c r="C225" s="80">
        <v>0.12000000000000011</v>
      </c>
      <c r="D225" s="80">
        <v>8.3333333333333259E-2</v>
      </c>
      <c r="E225" s="80">
        <v>0.20879120879120872</v>
      </c>
      <c r="F225" s="80">
        <v>5.4545454545454453E-2</v>
      </c>
      <c r="G225" s="80">
        <v>-3.4482758620689613E-2</v>
      </c>
      <c r="H225" s="80">
        <v>0.2589285714285714</v>
      </c>
      <c r="I225" s="80">
        <v>-4.9645390070921946E-2</v>
      </c>
      <c r="J225" s="71">
        <f>J222</f>
        <v>0</v>
      </c>
      <c r="K225" s="71">
        <f t="shared" ref="K225:N225" si="251">K222</f>
        <v>0</v>
      </c>
      <c r="L225" s="71">
        <f t="shared" si="251"/>
        <v>0</v>
      </c>
      <c r="M225" s="71">
        <f t="shared" si="251"/>
        <v>0</v>
      </c>
      <c r="N225" s="71">
        <f t="shared" si="251"/>
        <v>0</v>
      </c>
    </row>
    <row r="226" spans="1:14" x14ac:dyDescent="0.25">
      <c r="A226" s="82" t="s">
        <v>133</v>
      </c>
      <c r="B226" s="80">
        <v>-0.91463414634146345</v>
      </c>
      <c r="C226" s="80">
        <v>-0.97674418604651159</v>
      </c>
      <c r="D226" s="80">
        <v>1.2133333333333334</v>
      </c>
      <c r="E226" s="80">
        <v>4.2307692307692308</v>
      </c>
      <c r="F226" s="80">
        <v>-16.571428571428573</v>
      </c>
      <c r="G226" s="80">
        <v>-10.181818181818182</v>
      </c>
      <c r="H226" s="80">
        <v>3.5249999999999999</v>
      </c>
      <c r="I226" s="80">
        <v>-1.8611111111111112</v>
      </c>
      <c r="J226" s="80">
        <v>-1.8611111111111112</v>
      </c>
      <c r="K226" s="80">
        <v>-1.8611111111111112</v>
      </c>
      <c r="L226" s="80">
        <v>-1.8611111111111112</v>
      </c>
      <c r="M226" s="80">
        <v>-1.8611111111111112</v>
      </c>
      <c r="N226" s="80">
        <v>-1.8611111111111112</v>
      </c>
    </row>
    <row r="227" spans="1:14" x14ac:dyDescent="0.25">
      <c r="A227" s="82" t="s">
        <v>140</v>
      </c>
      <c r="B227" s="80">
        <v>0.10518934081346423</v>
      </c>
      <c r="C227" s="80">
        <v>8.9647812166488788E-2</v>
      </c>
      <c r="D227" s="80">
        <v>7.3505654281098551E-2</v>
      </c>
      <c r="E227" s="80">
        <v>7.586206896551724E-2</v>
      </c>
      <c r="F227" s="80">
        <v>6.9336521219366412E-2</v>
      </c>
      <c r="G227" s="80">
        <v>5.845511482254697E-2</v>
      </c>
      <c r="H227" s="80">
        <v>7.5401069518716571E-2</v>
      </c>
      <c r="I227" s="80">
        <v>7.374793615850303E-2</v>
      </c>
      <c r="J227" s="80">
        <v>7.2747886714833621E-2</v>
      </c>
      <c r="K227" s="80">
        <v>7.17613983135727E-2</v>
      </c>
      <c r="L227" s="80">
        <v>7.0788287061941374E-2</v>
      </c>
      <c r="M227" s="80">
        <v>6.9828371560815269E-2</v>
      </c>
      <c r="N227" s="80">
        <v>6.8881472870909594E-2</v>
      </c>
    </row>
    <row r="228" spans="1:14" x14ac:dyDescent="0.25">
      <c r="A228" s="78" t="s">
        <v>134</v>
      </c>
      <c r="B228" s="68">
        <v>-1101</v>
      </c>
      <c r="C228" s="68">
        <v>-1173</v>
      </c>
      <c r="D228" s="68">
        <v>-724</v>
      </c>
      <c r="E228" s="68">
        <v>-1456</v>
      </c>
      <c r="F228" s="68">
        <v>-1810</v>
      </c>
      <c r="G228" s="68">
        <v>-1967</v>
      </c>
      <c r="H228" s="68">
        <v>-2261</v>
      </c>
      <c r="I228" s="68">
        <v>-2219</v>
      </c>
      <c r="J228" s="69">
        <f>I228*(1+J229)</f>
        <v>-2219</v>
      </c>
      <c r="K228" s="69">
        <f t="shared" ref="K228:N228" si="252">J228*(1+K229)</f>
        <v>-2219</v>
      </c>
      <c r="L228" s="69">
        <f t="shared" si="252"/>
        <v>-2219</v>
      </c>
      <c r="M228" s="69">
        <f t="shared" si="252"/>
        <v>-2219</v>
      </c>
      <c r="N228" s="69">
        <f t="shared" si="252"/>
        <v>-2219</v>
      </c>
    </row>
    <row r="229" spans="1:14" x14ac:dyDescent="0.25">
      <c r="A229" s="82" t="s">
        <v>129</v>
      </c>
      <c r="B229" s="80" t="s">
        <v>225</v>
      </c>
      <c r="C229" s="80">
        <v>6.5395095367847489E-2</v>
      </c>
      <c r="D229" s="80">
        <v>-0.38277919863597609</v>
      </c>
      <c r="E229" s="80">
        <v>1.0110497237569063</v>
      </c>
      <c r="F229" s="80">
        <v>0.24313186813186816</v>
      </c>
      <c r="G229" s="80">
        <v>8.6740331491712785E-2</v>
      </c>
      <c r="H229" s="80">
        <v>0.14946619217081847</v>
      </c>
      <c r="I229" s="80">
        <v>-1.8575851393188847E-2</v>
      </c>
      <c r="J229" s="74">
        <f>J225</f>
        <v>0</v>
      </c>
      <c r="K229" s="74">
        <f t="shared" ref="K229:N229" si="253">K225</f>
        <v>0</v>
      </c>
      <c r="L229" s="74">
        <f t="shared" si="253"/>
        <v>0</v>
      </c>
      <c r="M229" s="74">
        <f t="shared" si="253"/>
        <v>0</v>
      </c>
      <c r="N229" s="74">
        <f t="shared" si="253"/>
        <v>0</v>
      </c>
    </row>
    <row r="230" spans="1:14" x14ac:dyDescent="0.25">
      <c r="A230" s="82" t="s">
        <v>131</v>
      </c>
      <c r="B230" s="80">
        <v>13.426829268292684</v>
      </c>
      <c r="C230" s="80">
        <v>13.63953488372093</v>
      </c>
      <c r="D230" s="80">
        <v>-9.6533333333333342</v>
      </c>
      <c r="E230" s="80">
        <v>-56</v>
      </c>
      <c r="F230" s="80">
        <v>258.57142857142856</v>
      </c>
      <c r="G230" s="80">
        <v>178.81818181818181</v>
      </c>
      <c r="H230" s="80">
        <v>-56.524999999999999</v>
      </c>
      <c r="I230" s="80">
        <v>30.819444444444443</v>
      </c>
      <c r="J230" s="80">
        <v>30.819444444444443</v>
      </c>
      <c r="K230" s="80">
        <v>30.819444444444443</v>
      </c>
      <c r="L230" s="80">
        <v>30.819444444444443</v>
      </c>
      <c r="M230" s="80">
        <v>30.819444444444443</v>
      </c>
      <c r="N230" s="80">
        <v>30.819444444444443</v>
      </c>
    </row>
    <row r="231" spans="1:14" x14ac:dyDescent="0.25">
      <c r="A231" s="78" t="s">
        <v>135</v>
      </c>
      <c r="B231" s="68">
        <v>-372</v>
      </c>
      <c r="C231" s="68">
        <v>-257</v>
      </c>
      <c r="D231" s="68">
        <v>291</v>
      </c>
      <c r="E231" s="68">
        <v>159</v>
      </c>
      <c r="F231" s="68">
        <v>377</v>
      </c>
      <c r="G231" s="68">
        <v>318</v>
      </c>
      <c r="H231" s="68">
        <v>11</v>
      </c>
      <c r="I231" s="68">
        <v>50</v>
      </c>
      <c r="J231" s="69">
        <f>I231*(1+J232)</f>
        <v>50</v>
      </c>
      <c r="K231" s="69">
        <f t="shared" ref="K231:N231" si="254">J231*(1+K232)</f>
        <v>50</v>
      </c>
      <c r="L231" s="69">
        <f t="shared" si="254"/>
        <v>50</v>
      </c>
      <c r="M231" s="69">
        <f t="shared" si="254"/>
        <v>50</v>
      </c>
      <c r="N231" s="69">
        <f t="shared" si="254"/>
        <v>50</v>
      </c>
    </row>
    <row r="232" spans="1:14" x14ac:dyDescent="0.25">
      <c r="A232" s="82" t="s">
        <v>129</v>
      </c>
      <c r="B232" s="80" t="s">
        <v>225</v>
      </c>
      <c r="C232" s="80">
        <v>-0.30913978494623651</v>
      </c>
      <c r="D232" s="80">
        <v>-2.132295719844358</v>
      </c>
      <c r="E232" s="80">
        <v>-0.45360824742268047</v>
      </c>
      <c r="F232" s="80">
        <v>1.3710691823899372</v>
      </c>
      <c r="G232" s="80">
        <v>-0.156498673740053</v>
      </c>
      <c r="H232" s="80">
        <v>-0.96540880503144655</v>
      </c>
      <c r="I232" s="80">
        <v>3.5454545454545459</v>
      </c>
      <c r="J232" s="74">
        <f>J229</f>
        <v>0</v>
      </c>
      <c r="K232" s="74">
        <f t="shared" ref="K232:N232" si="255">K229</f>
        <v>0</v>
      </c>
      <c r="L232" s="74">
        <f t="shared" si="255"/>
        <v>0</v>
      </c>
      <c r="M232" s="74">
        <f t="shared" si="255"/>
        <v>0</v>
      </c>
      <c r="N232" s="74">
        <f t="shared" si="255"/>
        <v>0</v>
      </c>
    </row>
    <row r="233" spans="1:14" x14ac:dyDescent="0.25">
      <c r="A233" s="82" t="s">
        <v>133</v>
      </c>
      <c r="B233" s="80">
        <v>4.5365853658536581</v>
      </c>
      <c r="C233" s="80">
        <v>2.9883720930232558</v>
      </c>
      <c r="D233" s="80">
        <v>3.88</v>
      </c>
      <c r="E233" s="80">
        <v>6.115384615384615</v>
      </c>
      <c r="F233" s="80">
        <v>-53.857142857142854</v>
      </c>
      <c r="G233" s="80">
        <v>-28.90909090909091</v>
      </c>
      <c r="H233" s="80">
        <v>0.27500000000000002</v>
      </c>
      <c r="I233" s="80">
        <v>-0.69444444444444442</v>
      </c>
      <c r="J233" s="80">
        <v>-0.69444444444444442</v>
      </c>
      <c r="K233" s="80">
        <v>-0.69444444444444442</v>
      </c>
      <c r="L233" s="80">
        <v>-0.69444444444444442</v>
      </c>
      <c r="M233" s="80">
        <v>-0.69444444444444442</v>
      </c>
      <c r="N233" s="80">
        <v>-0.69444444444444442</v>
      </c>
    </row>
    <row r="234" spans="1:14" x14ac:dyDescent="0.25">
      <c r="A234" s="75" t="s">
        <v>117</v>
      </c>
      <c r="B234" s="69">
        <v>713</v>
      </c>
      <c r="C234" s="69">
        <v>937</v>
      </c>
      <c r="D234" s="69">
        <v>1238</v>
      </c>
      <c r="E234" s="69">
        <v>1450</v>
      </c>
      <c r="F234" s="69">
        <v>1673</v>
      </c>
      <c r="G234" s="69">
        <v>1916</v>
      </c>
      <c r="H234" s="69">
        <v>1870</v>
      </c>
      <c r="I234" s="69">
        <v>1817</v>
      </c>
      <c r="J234" s="69">
        <f>I234*(1+J235)</f>
        <v>1817</v>
      </c>
      <c r="K234" s="69">
        <f t="shared" ref="K234:N234" si="256">J234*(1+K235)</f>
        <v>1817</v>
      </c>
      <c r="L234" s="69">
        <f t="shared" si="256"/>
        <v>1817</v>
      </c>
      <c r="M234" s="69">
        <f t="shared" si="256"/>
        <v>1817</v>
      </c>
      <c r="N234" s="69">
        <f t="shared" si="256"/>
        <v>1817</v>
      </c>
    </row>
    <row r="235" spans="1:14" x14ac:dyDescent="0.25">
      <c r="A235" s="72" t="s">
        <v>129</v>
      </c>
      <c r="B235" s="74" t="s">
        <v>225</v>
      </c>
      <c r="C235" s="74">
        <v>0.31416549789621318</v>
      </c>
      <c r="D235" s="74">
        <v>0.32123799359658478</v>
      </c>
      <c r="E235" s="74">
        <v>0.17124394184168024</v>
      </c>
      <c r="F235" s="74">
        <v>0.15379310344827579</v>
      </c>
      <c r="G235" s="74">
        <v>0.14524805738194857</v>
      </c>
      <c r="H235" s="74">
        <v>-2.4008350730688965E-2</v>
      </c>
      <c r="I235" s="74">
        <v>-2.8342245989304793E-2</v>
      </c>
      <c r="J235" s="74">
        <f>J232</f>
        <v>0</v>
      </c>
      <c r="K235" s="74">
        <f t="shared" ref="K235:N235" si="257">K232</f>
        <v>0</v>
      </c>
      <c r="L235" s="74">
        <f t="shared" si="257"/>
        <v>0</v>
      </c>
      <c r="M235" s="74">
        <f t="shared" si="257"/>
        <v>0</v>
      </c>
      <c r="N235" s="74">
        <f t="shared" si="257"/>
        <v>0</v>
      </c>
    </row>
    <row r="236" spans="1:14" x14ac:dyDescent="0.25">
      <c r="A236" s="72" t="s">
        <v>133</v>
      </c>
      <c r="B236" s="74">
        <v>-8.6951219512195124</v>
      </c>
      <c r="C236" s="74">
        <v>-10.895348837209303</v>
      </c>
      <c r="D236" s="74">
        <v>16.506666666666668</v>
      </c>
      <c r="E236" s="74">
        <v>55.769230769230766</v>
      </c>
      <c r="F236" s="74">
        <v>-239</v>
      </c>
      <c r="G236" s="74">
        <v>-174.18181818181819</v>
      </c>
      <c r="H236" s="74">
        <v>46.75</v>
      </c>
      <c r="I236" s="74">
        <v>-25.236111111111111</v>
      </c>
      <c r="J236" s="74">
        <v>-23.508178726037894</v>
      </c>
      <c r="K236" s="74">
        <v>-21.898558957129623</v>
      </c>
      <c r="L236" s="74">
        <v>-20.399150865214882</v>
      </c>
      <c r="M236" s="74">
        <v>-19.002408187517613</v>
      </c>
      <c r="N236" s="74">
        <v>-17.70130135861578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3"/>
  <sheetViews>
    <sheetView tabSelected="1" topLeftCell="A32" zoomScale="80" zoomScaleNormal="80" workbookViewId="0">
      <selection activeCell="K86" sqref="K86"/>
    </sheetView>
  </sheetViews>
  <sheetFormatPr defaultColWidth="8.85546875" defaultRowHeight="15" x14ac:dyDescent="0.25"/>
  <cols>
    <col min="1" max="1" width="42.140625" customWidth="1"/>
    <col min="2" max="23" width="11.7109375" customWidth="1"/>
    <col min="24" max="24" width="120.85546875" bestFit="1" customWidth="1"/>
  </cols>
  <sheetData>
    <row r="1" spans="1:24"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37"/>
      <c r="Q1" s="37"/>
      <c r="R1" s="37"/>
      <c r="S1" s="37"/>
      <c r="T1" s="37"/>
      <c r="U1" s="37"/>
      <c r="V1" s="37"/>
      <c r="W1" s="37"/>
      <c r="X1" s="59" t="s">
        <v>216</v>
      </c>
    </row>
    <row r="2" spans="1:24" x14ac:dyDescent="0.25">
      <c r="A2" s="38" t="s">
        <v>149</v>
      </c>
      <c r="B2" s="38"/>
      <c r="C2" s="38"/>
      <c r="D2" s="38"/>
      <c r="E2" s="38"/>
      <c r="F2" s="38"/>
      <c r="G2" s="38"/>
      <c r="H2" s="38"/>
      <c r="I2" s="38"/>
      <c r="J2" s="38"/>
      <c r="K2" s="38"/>
      <c r="L2" s="38"/>
      <c r="M2" s="38"/>
      <c r="N2" s="38"/>
      <c r="O2" s="38" t="s">
        <v>227</v>
      </c>
      <c r="P2" s="88">
        <v>2015</v>
      </c>
      <c r="Q2" s="88">
        <v>2016</v>
      </c>
      <c r="R2" s="88">
        <v>2017</v>
      </c>
      <c r="S2" s="88">
        <v>2018</v>
      </c>
      <c r="T2" s="88">
        <v>2019</v>
      </c>
      <c r="U2" s="88">
        <v>2020</v>
      </c>
      <c r="V2" s="88">
        <v>2021</v>
      </c>
      <c r="W2" s="88">
        <v>2022</v>
      </c>
    </row>
    <row r="3" spans="1:24"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89">
        <f>I3*(1+J4)</f>
        <v>48987.922672773813</v>
      </c>
      <c r="K3" s="89">
        <f t="shared" ref="K3:N3" si="1">J3*(1+K4)</f>
        <v>51376.933585820305</v>
      </c>
      <c r="L3" s="89">
        <f t="shared" si="1"/>
        <v>53882.450217649348</v>
      </c>
      <c r="M3" s="89">
        <f t="shared" si="1"/>
        <v>56510.154242812903</v>
      </c>
      <c r="N3" s="89">
        <f t="shared" si="1"/>
        <v>59266.004416044518</v>
      </c>
      <c r="O3" s="9"/>
      <c r="P3" s="9"/>
      <c r="Q3" s="9"/>
      <c r="R3" s="9"/>
      <c r="S3" s="9"/>
      <c r="T3" s="9"/>
      <c r="U3" s="9"/>
      <c r="V3" s="9"/>
      <c r="W3" s="9"/>
    </row>
    <row r="4" spans="1:24" x14ac:dyDescent="0.25">
      <c r="A4" s="40" t="s">
        <v>129</v>
      </c>
      <c r="B4" s="48" t="str">
        <f>+IFERROR(B3/A3-1,"nm")</f>
        <v>nm</v>
      </c>
      <c r="C4" s="48">
        <f t="shared" ref="C4:H4" si="2">+IFERROR(C3/B3-1,"nm")</f>
        <v>5.8004640371229765E-2</v>
      </c>
      <c r="D4" s="48">
        <f t="shared" si="2"/>
        <v>6.0971089696071123E-2</v>
      </c>
      <c r="E4" s="48">
        <f t="shared" si="2"/>
        <v>5.95924308588065E-2</v>
      </c>
      <c r="F4" s="48">
        <f t="shared" si="2"/>
        <v>7.4731433909388079E-2</v>
      </c>
      <c r="G4" s="48">
        <f t="shared" si="2"/>
        <v>-4.3817266150267153E-2</v>
      </c>
      <c r="H4" s="48">
        <f t="shared" si="2"/>
        <v>0.19076009945726269</v>
      </c>
      <c r="I4" s="48">
        <f>+IFERROR(I3/H3-1,"nm")</f>
        <v>4.8767344739323759E-2</v>
      </c>
      <c r="J4" s="48">
        <f>I4</f>
        <v>4.8767344739323759E-2</v>
      </c>
      <c r="K4" s="48">
        <f t="shared" ref="K4:N4" si="3">J4</f>
        <v>4.8767344739323759E-2</v>
      </c>
      <c r="L4" s="48">
        <f t="shared" si="3"/>
        <v>4.8767344739323759E-2</v>
      </c>
      <c r="M4" s="48">
        <f t="shared" si="3"/>
        <v>4.8767344739323759E-2</v>
      </c>
      <c r="N4" s="48">
        <f t="shared" si="3"/>
        <v>4.8767344739323759E-2</v>
      </c>
      <c r="O4" s="48"/>
      <c r="P4" s="48"/>
      <c r="Q4" s="48"/>
      <c r="R4" s="48"/>
      <c r="S4" s="48"/>
      <c r="T4" s="48"/>
      <c r="U4" s="48"/>
      <c r="V4" s="48"/>
      <c r="W4" s="48"/>
    </row>
    <row r="5" spans="1:24" x14ac:dyDescent="0.25">
      <c r="A5" s="1" t="s">
        <v>150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I5*(1+J4)</f>
        <v>7942.3151017108985</v>
      </c>
      <c r="K5" s="9">
        <f t="shared" ref="K5:N5" si="4">J5*(1+K4)</f>
        <v>8329.6407203043709</v>
      </c>
      <c r="L5" s="9">
        <f t="shared" si="4"/>
        <v>8735.8551808661632</v>
      </c>
      <c r="M5" s="9">
        <f t="shared" si="4"/>
        <v>9161.8796420642702</v>
      </c>
      <c r="N5" s="9">
        <f t="shared" si="4"/>
        <v>9608.6801850290103</v>
      </c>
      <c r="O5" s="9"/>
      <c r="P5" s="9"/>
      <c r="Q5" s="9"/>
      <c r="R5" s="9"/>
      <c r="S5" s="9"/>
      <c r="T5" s="9"/>
      <c r="U5" s="9"/>
      <c r="V5" s="9"/>
      <c r="W5" s="9"/>
    </row>
    <row r="6" spans="1:24" x14ac:dyDescent="0.25">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'[1]Segmental forecast'!J8</f>
        <v>752.13300000000004</v>
      </c>
      <c r="K6" s="50">
        <f>'[1]Segmental forecast'!K8</f>
        <v>788.9875169999998</v>
      </c>
      <c r="L6" s="50">
        <f>'[1]Segmental forecast'!L8</f>
        <v>827.64790533299981</v>
      </c>
      <c r="M6" s="50">
        <f>'[1]Segmental forecast'!M8</f>
        <v>868.20265269431684</v>
      </c>
      <c r="N6" s="50">
        <f>'[1]Segmental forecast'!N8</f>
        <v>910.74458267633827</v>
      </c>
      <c r="O6" s="50"/>
      <c r="P6" s="50"/>
      <c r="Q6" s="50"/>
      <c r="R6" s="50"/>
      <c r="S6" s="50"/>
      <c r="T6" s="50"/>
      <c r="U6" s="50"/>
      <c r="V6" s="50"/>
      <c r="W6" s="50"/>
    </row>
    <row r="7" spans="1:24"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I7*(1+J8)</f>
        <v>7190.3489155328034</v>
      </c>
      <c r="K7" s="5">
        <f t="shared" ref="K7:N7" si="5">J7*(1+K8)</f>
        <v>7541.0031398926139</v>
      </c>
      <c r="L7" s="5">
        <f t="shared" si="5"/>
        <v>7908.7578396960798</v>
      </c>
      <c r="M7" s="5">
        <f t="shared" si="5"/>
        <v>8294.4469597243678</v>
      </c>
      <c r="N7" s="5">
        <f t="shared" si="5"/>
        <v>8698.9451140312813</v>
      </c>
      <c r="O7" s="39"/>
      <c r="P7" s="39"/>
      <c r="Q7" s="39"/>
      <c r="R7" s="39"/>
      <c r="S7" s="39"/>
      <c r="T7" s="39"/>
      <c r="U7" s="39"/>
      <c r="V7" s="39"/>
      <c r="W7" s="39"/>
    </row>
    <row r="8" spans="1:24" x14ac:dyDescent="0.25">
      <c r="A8" s="40" t="s">
        <v>129</v>
      </c>
      <c r="B8" s="48">
        <f>+IFERROR(B7/Historicals!K10-1,"nm")</f>
        <v>0.18339390550740853</v>
      </c>
      <c r="C8" s="48">
        <f t="shared" ref="C8:I8" si="6">+IFERROR(C7/B7-1,"nm")</f>
        <v>9.6621781242617555E-2</v>
      </c>
      <c r="D8" s="48">
        <f t="shared" si="6"/>
        <v>6.5273588970271357E-2</v>
      </c>
      <c r="E8" s="48">
        <f t="shared" si="6"/>
        <v>-0.11445904954499497</v>
      </c>
      <c r="F8" s="48">
        <f t="shared" si="6"/>
        <v>0.10755880337976698</v>
      </c>
      <c r="G8" s="48">
        <f t="shared" si="6"/>
        <v>-0.38639175257731961</v>
      </c>
      <c r="H8" s="48">
        <f t="shared" si="6"/>
        <v>1.32627688172043</v>
      </c>
      <c r="I8" s="48">
        <f t="shared" si="6"/>
        <v>-9.67788530983682E-3</v>
      </c>
      <c r="J8" s="48">
        <f>J4</f>
        <v>4.8767344739323759E-2</v>
      </c>
      <c r="K8" s="48">
        <f t="shared" ref="K8:N8" si="7">K4</f>
        <v>4.8767344739323759E-2</v>
      </c>
      <c r="L8" s="48">
        <f t="shared" si="7"/>
        <v>4.8767344739323759E-2</v>
      </c>
      <c r="M8" s="48">
        <f t="shared" si="7"/>
        <v>4.8767344739323759E-2</v>
      </c>
      <c r="N8" s="48">
        <f t="shared" si="7"/>
        <v>4.8767344739323759E-2</v>
      </c>
      <c r="O8" s="48"/>
      <c r="P8" s="48"/>
      <c r="Q8" s="48"/>
      <c r="R8" s="48"/>
      <c r="S8" s="48"/>
      <c r="T8" s="48"/>
      <c r="U8" s="48"/>
      <c r="V8" s="48"/>
      <c r="W8" s="48"/>
    </row>
    <row r="9" spans="1:24" x14ac:dyDescent="0.25">
      <c r="A9" s="40" t="s">
        <v>131</v>
      </c>
      <c r="B9" s="48">
        <f>+IFERROR(B7/B3,"nm")</f>
        <v>0.13832881278389594</v>
      </c>
      <c r="C9" s="48">
        <f t="shared" ref="C9:N9" si="8">+IFERROR(C7/C3,"nm")</f>
        <v>0.14337781072399308</v>
      </c>
      <c r="D9" s="48">
        <f t="shared" si="8"/>
        <v>0.14395924308588065</v>
      </c>
      <c r="E9" s="48">
        <f t="shared" si="8"/>
        <v>0.12031211363573921</v>
      </c>
      <c r="F9" s="48">
        <f t="shared" si="8"/>
        <v>0.12398701331901731</v>
      </c>
      <c r="G9" s="48">
        <f t="shared" si="8"/>
        <v>7.9565810229126011E-2</v>
      </c>
      <c r="H9" s="48">
        <f t="shared" si="8"/>
        <v>0.1554402981723472</v>
      </c>
      <c r="I9" s="48">
        <f t="shared" si="8"/>
        <v>0.14677799186469706</v>
      </c>
      <c r="J9" s="48">
        <f t="shared" si="8"/>
        <v>0.14677799186469706</v>
      </c>
      <c r="K9" s="48">
        <f t="shared" si="8"/>
        <v>0.14677799186469706</v>
      </c>
      <c r="L9" s="48">
        <f t="shared" si="8"/>
        <v>0.14677799186469706</v>
      </c>
      <c r="M9" s="48">
        <f t="shared" si="8"/>
        <v>0.14677799186469706</v>
      </c>
      <c r="N9" s="48">
        <f t="shared" si="8"/>
        <v>0.14677799186469703</v>
      </c>
      <c r="O9" s="48"/>
      <c r="P9" s="48"/>
      <c r="Q9" s="48"/>
      <c r="R9" s="48"/>
      <c r="S9" s="48"/>
      <c r="T9" s="48"/>
      <c r="U9" s="48"/>
      <c r="V9" s="48"/>
      <c r="W9" s="48"/>
    </row>
    <row r="10" spans="1:24" x14ac:dyDescent="0.2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I10*(1+J4)</f>
        <v>214.99730567156138</v>
      </c>
      <c r="K10" s="3">
        <f t="shared" ref="K10:N10" si="9">J10*(1+K4)</f>
        <v>225.48215339527218</v>
      </c>
      <c r="L10" s="3">
        <f t="shared" si="9"/>
        <v>236.47831930246448</v>
      </c>
      <c r="M10" s="3">
        <f t="shared" si="9"/>
        <v>248.01073902326365</v>
      </c>
      <c r="N10" s="3">
        <f t="shared" si="9"/>
        <v>260.10556423226564</v>
      </c>
      <c r="O10" s="3"/>
      <c r="P10" s="3"/>
      <c r="Q10" s="3"/>
      <c r="R10" s="3"/>
      <c r="S10" s="3"/>
      <c r="T10" s="3"/>
      <c r="U10" s="3"/>
      <c r="V10" s="3"/>
      <c r="W10" s="3"/>
    </row>
    <row r="11" spans="1:24" x14ac:dyDescent="0.25">
      <c r="A11" s="4" t="s">
        <v>151</v>
      </c>
      <c r="B11" s="5">
        <f>B7-B10</f>
        <v>4205</v>
      </c>
      <c r="C11" s="5">
        <f t="shared" ref="C11:N11" si="10">C7-C10</f>
        <v>4623</v>
      </c>
      <c r="D11" s="5">
        <f t="shared" si="10"/>
        <v>4886</v>
      </c>
      <c r="E11" s="5">
        <f t="shared" si="10"/>
        <v>4325</v>
      </c>
      <c r="F11" s="5">
        <f t="shared" si="10"/>
        <v>4801</v>
      </c>
      <c r="G11" s="5">
        <f t="shared" si="10"/>
        <v>2887</v>
      </c>
      <c r="H11" s="5">
        <f t="shared" si="10"/>
        <v>6661</v>
      </c>
      <c r="I11" s="5">
        <f t="shared" si="10"/>
        <v>6651</v>
      </c>
      <c r="J11" s="5">
        <f t="shared" si="10"/>
        <v>6975.3516098612417</v>
      </c>
      <c r="K11" s="5">
        <f t="shared" si="10"/>
        <v>7315.5209864973422</v>
      </c>
      <c r="L11" s="5">
        <f t="shared" si="10"/>
        <v>7672.2795203936157</v>
      </c>
      <c r="M11" s="5">
        <f t="shared" si="10"/>
        <v>8046.4362207011045</v>
      </c>
      <c r="N11" s="5">
        <f t="shared" si="10"/>
        <v>8438.839549799015</v>
      </c>
      <c r="O11" s="39"/>
      <c r="P11" s="39"/>
      <c r="Q11" s="39"/>
      <c r="R11" s="39"/>
      <c r="S11" s="39"/>
      <c r="T11" s="39"/>
      <c r="U11" s="39"/>
      <c r="V11" s="39"/>
      <c r="W11" s="39"/>
    </row>
    <row r="12" spans="1:24" x14ac:dyDescent="0.25">
      <c r="A12" t="s">
        <v>26</v>
      </c>
      <c r="B12" s="3">
        <f>[2]Historicals!B11</f>
        <v>932</v>
      </c>
      <c r="C12" s="3">
        <f>[2]Historicals!C11</f>
        <v>863</v>
      </c>
      <c r="D12" s="3">
        <f>[2]Historicals!D11</f>
        <v>646</v>
      </c>
      <c r="E12" s="3">
        <f>[2]Historicals!E11</f>
        <v>2392</v>
      </c>
      <c r="F12" s="3">
        <f>[2]Historicals!F11</f>
        <v>772</v>
      </c>
      <c r="G12" s="3">
        <f>[2]Historicals!G11</f>
        <v>348</v>
      </c>
      <c r="H12" s="3">
        <f>[2]Historicals!H11</f>
        <v>934</v>
      </c>
      <c r="I12" s="3">
        <f>[2]Historicals!I11</f>
        <v>605</v>
      </c>
      <c r="J12" s="39">
        <f>I12*(1+O12)</f>
        <v>974.05</v>
      </c>
      <c r="K12" s="39">
        <f>J12*(1+K4)</f>
        <v>1021.5518321433383</v>
      </c>
      <c r="L12" s="39">
        <f t="shared" ref="L12:M12" si="11">K12*(1+L4)</f>
        <v>1071.3702025105604</v>
      </c>
      <c r="M12" s="39">
        <f t="shared" si="11"/>
        <v>1123.6180825198319</v>
      </c>
      <c r="N12" s="39">
        <f>M12*(1+N4)</f>
        <v>1178.4139529054144</v>
      </c>
      <c r="O12" s="90">
        <v>0.61</v>
      </c>
      <c r="P12" s="39"/>
      <c r="Q12" s="39"/>
      <c r="R12" s="39"/>
      <c r="S12" s="39"/>
      <c r="T12" s="39"/>
      <c r="U12" s="39"/>
      <c r="V12" s="39"/>
      <c r="W12" s="39"/>
    </row>
    <row r="13" spans="1:24" x14ac:dyDescent="0.25">
      <c r="A13" s="51" t="s">
        <v>152</v>
      </c>
      <c r="B13" s="52">
        <f>IFERROR(B12/B11,"nm")</f>
        <v>0.22164090368608799</v>
      </c>
      <c r="C13" s="52">
        <f>IFERROR(C12/C11,"nm")</f>
        <v>0.18667531905688947</v>
      </c>
      <c r="D13" s="52">
        <f t="shared" ref="D13:G13" si="12">IFERROR(D12/D11,"nm")</f>
        <v>0.13221449038067951</v>
      </c>
      <c r="E13" s="52">
        <f t="shared" si="12"/>
        <v>0.55306358381502885</v>
      </c>
      <c r="F13" s="52">
        <f t="shared" si="12"/>
        <v>0.16079983336804832</v>
      </c>
      <c r="G13" s="52">
        <f t="shared" si="12"/>
        <v>0.12054035330793211</v>
      </c>
      <c r="H13" s="52">
        <f>IFERROR(H12/H11,"nm")</f>
        <v>0.14021918630836211</v>
      </c>
      <c r="I13" s="52">
        <f>IFERROR(I12/I11,"nm")</f>
        <v>9.0963764847391368E-2</v>
      </c>
      <c r="J13" s="53">
        <f>J12/J11</f>
        <v>0.13964170617907767</v>
      </c>
      <c r="K13" s="53">
        <f t="shared" ref="K13:N13" si="13">K12/K11</f>
        <v>0.13964170617907767</v>
      </c>
      <c r="L13" s="53">
        <f t="shared" si="13"/>
        <v>0.1396417061790777</v>
      </c>
      <c r="M13" s="53">
        <f t="shared" si="13"/>
        <v>0.13964170617907767</v>
      </c>
      <c r="N13" s="53">
        <f t="shared" si="13"/>
        <v>0.1396417061790777</v>
      </c>
      <c r="O13" s="53"/>
      <c r="P13" s="53"/>
      <c r="Q13" s="53"/>
      <c r="R13" s="53"/>
      <c r="S13" s="53"/>
      <c r="T13" s="53"/>
      <c r="U13" s="53"/>
      <c r="V13" s="53"/>
      <c r="W13" s="53"/>
    </row>
    <row r="14" spans="1:24" s="92" customFormat="1" x14ac:dyDescent="0.25">
      <c r="A14" s="93" t="s">
        <v>231</v>
      </c>
      <c r="B14" s="94">
        <f>B52</f>
        <v>53</v>
      </c>
      <c r="C14" s="94">
        <f t="shared" ref="C14:N14" si="14">C52</f>
        <v>70</v>
      </c>
      <c r="D14" s="94">
        <f t="shared" si="14"/>
        <v>98</v>
      </c>
      <c r="E14" s="94">
        <f t="shared" si="14"/>
        <v>125</v>
      </c>
      <c r="F14" s="94">
        <f t="shared" si="14"/>
        <v>153</v>
      </c>
      <c r="G14" s="94">
        <f t="shared" si="14"/>
        <v>140</v>
      </c>
      <c r="H14" s="94">
        <f t="shared" si="14"/>
        <v>293</v>
      </c>
      <c r="I14" s="94">
        <f t="shared" si="14"/>
        <v>290</v>
      </c>
      <c r="J14" s="94">
        <f>J52</f>
        <v>116.12322360142764</v>
      </c>
      <c r="K14" s="94">
        <f t="shared" si="14"/>
        <v>125.04313026283565</v>
      </c>
      <c r="L14" s="94">
        <f t="shared" si="14"/>
        <v>133.81570721001151</v>
      </c>
      <c r="M14" s="94">
        <f t="shared" si="14"/>
        <v>142.37287578545903</v>
      </c>
      <c r="N14" s="94">
        <f t="shared" si="14"/>
        <v>150.57086568604217</v>
      </c>
      <c r="O14" s="91"/>
      <c r="P14" s="91"/>
      <c r="Q14" s="91"/>
      <c r="R14" s="91"/>
      <c r="S14" s="91"/>
      <c r="T14" s="91"/>
      <c r="U14" s="91"/>
      <c r="V14" s="91"/>
      <c r="W14" s="91"/>
    </row>
    <row r="15" spans="1:24" ht="15.75" thickBot="1" x14ac:dyDescent="0.3">
      <c r="A15" s="6" t="s">
        <v>153</v>
      </c>
      <c r="B15" s="7">
        <f>B11-B12</f>
        <v>3273</v>
      </c>
      <c r="C15" s="7">
        <f t="shared" ref="C15:N15" si="15">C11-C12</f>
        <v>3760</v>
      </c>
      <c r="D15" s="7">
        <f t="shared" si="15"/>
        <v>4240</v>
      </c>
      <c r="E15" s="7">
        <f t="shared" si="15"/>
        <v>1933</v>
      </c>
      <c r="F15" s="7">
        <f t="shared" si="15"/>
        <v>4029</v>
      </c>
      <c r="G15" s="7">
        <f t="shared" si="15"/>
        <v>2539</v>
      </c>
      <c r="H15" s="7">
        <f t="shared" si="15"/>
        <v>5727</v>
      </c>
      <c r="I15" s="7">
        <f t="shared" si="15"/>
        <v>6046</v>
      </c>
      <c r="J15" s="7">
        <f t="shared" si="15"/>
        <v>6001.3016098612416</v>
      </c>
      <c r="K15" s="7">
        <f t="shared" si="15"/>
        <v>6293.9691543540039</v>
      </c>
      <c r="L15" s="7">
        <f t="shared" si="15"/>
        <v>6600.9093178830553</v>
      </c>
      <c r="M15" s="7">
        <f t="shared" si="15"/>
        <v>6922.8181381812728</v>
      </c>
      <c r="N15" s="7">
        <f t="shared" si="15"/>
        <v>7260.4255968936004</v>
      </c>
      <c r="O15" s="39"/>
      <c r="P15" s="39"/>
      <c r="Q15" s="39"/>
      <c r="R15" s="39"/>
      <c r="S15" s="39"/>
      <c r="T15" s="39"/>
      <c r="U15" s="39"/>
      <c r="V15" s="39"/>
      <c r="W15" s="39"/>
      <c r="X15" t="s">
        <v>228</v>
      </c>
    </row>
    <row r="16" spans="1:24" ht="15.75" thickTop="1" x14ac:dyDescent="0.25">
      <c r="A16" t="s">
        <v>154</v>
      </c>
      <c r="B16" s="3">
        <f>[2]Historicals!B18</f>
        <v>1768.8</v>
      </c>
      <c r="C16" s="3">
        <f>[2]Historicals!C18</f>
        <v>1742.5</v>
      </c>
      <c r="D16" s="3">
        <f>[2]Historicals!D18</f>
        <v>1692</v>
      </c>
      <c r="E16" s="3">
        <f>[2]Historicals!E18</f>
        <v>1659.1</v>
      </c>
      <c r="F16" s="3">
        <f>[2]Historicals!F18</f>
        <v>1618.4</v>
      </c>
      <c r="G16" s="3">
        <f>[2]Historicals!G18</f>
        <v>1591.6</v>
      </c>
      <c r="H16" s="3">
        <f>[2]Historicals!H18</f>
        <v>1609.4</v>
      </c>
      <c r="I16" s="3">
        <f>'[3]Three Statements'!I15</f>
        <v>1610.8</v>
      </c>
      <c r="J16" s="3">
        <f>I16</f>
        <v>1610.8</v>
      </c>
      <c r="K16" s="3">
        <f t="shared" ref="K16:N16" si="16">J16</f>
        <v>1610.8</v>
      </c>
      <c r="L16" s="3">
        <f t="shared" si="16"/>
        <v>1610.8</v>
      </c>
      <c r="M16" s="3">
        <f t="shared" si="16"/>
        <v>1610.8</v>
      </c>
      <c r="N16" s="3">
        <f t="shared" si="16"/>
        <v>1610.8</v>
      </c>
      <c r="O16" s="3"/>
      <c r="P16" s="3"/>
      <c r="Q16" s="3"/>
      <c r="R16" s="3"/>
      <c r="S16" s="3"/>
      <c r="T16" s="3"/>
      <c r="U16" s="3"/>
      <c r="V16" s="3"/>
      <c r="W16" s="3"/>
    </row>
    <row r="17" spans="1:24" x14ac:dyDescent="0.25">
      <c r="A17" t="s">
        <v>155</v>
      </c>
      <c r="B17" s="54">
        <f>IFERROR(B15/B16,"nm")</f>
        <v>1.8504070556309362</v>
      </c>
      <c r="C17" s="54">
        <f t="shared" ref="C17:N17" si="17">IFERROR(C15/C16,"nm")</f>
        <v>2.1578192252510759</v>
      </c>
      <c r="D17" s="54">
        <f t="shared" si="17"/>
        <v>2.5059101654846336</v>
      </c>
      <c r="E17" s="54">
        <f t="shared" si="17"/>
        <v>1.1650895063588693</v>
      </c>
      <c r="F17" s="54">
        <f t="shared" si="17"/>
        <v>2.4894957983193278</v>
      </c>
      <c r="G17" s="54">
        <f t="shared" si="17"/>
        <v>1.5952500628298569</v>
      </c>
      <c r="H17" s="54">
        <f t="shared" si="17"/>
        <v>3.5584689946563937</v>
      </c>
      <c r="I17" s="54">
        <f t="shared" si="17"/>
        <v>3.7534144524459898</v>
      </c>
      <c r="J17" s="54">
        <f t="shared" si="17"/>
        <v>3.7256652656203388</v>
      </c>
      <c r="K17" s="54">
        <f t="shared" si="17"/>
        <v>3.9073560680121702</v>
      </c>
      <c r="L17" s="54">
        <f t="shared" si="17"/>
        <v>4.0979074484002087</v>
      </c>
      <c r="M17" s="54">
        <f t="shared" si="17"/>
        <v>4.2977515136461841</v>
      </c>
      <c r="N17" s="54">
        <f t="shared" si="17"/>
        <v>4.5073414433161165</v>
      </c>
      <c r="O17" s="54"/>
      <c r="P17" s="54"/>
      <c r="Q17" s="54"/>
      <c r="R17" s="54"/>
      <c r="S17" s="54"/>
      <c r="T17" s="54"/>
      <c r="U17" s="54"/>
      <c r="V17" s="54"/>
      <c r="W17" s="54"/>
    </row>
    <row r="18" spans="1:24" x14ac:dyDescent="0.25">
      <c r="A18" t="s">
        <v>156</v>
      </c>
      <c r="B18" s="54">
        <f>-[2]Historicals!B95/B16</f>
        <v>0.508254183627318</v>
      </c>
      <c r="C18" s="54">
        <f>-[2]Historicals!C95/C16</f>
        <v>1.2625538020086082E-2</v>
      </c>
      <c r="D18" s="54">
        <f>-[2]Historicals!D95/D16</f>
        <v>1.7139479905437353E-2</v>
      </c>
      <c r="E18" s="54">
        <f>-[2]Historicals!E95/E16</f>
        <v>3.3150503284913507E-2</v>
      </c>
      <c r="F18" s="54">
        <f>-[2]Historicals!F95/F16</f>
        <v>0.82303509639149774</v>
      </c>
      <c r="G18" s="54">
        <f>-[2]Historicals!G95/G16</f>
        <v>0.91228951997989449</v>
      </c>
      <c r="H18" s="54">
        <f>-[2]Historicals!H95/H16</f>
        <v>1.0177705977382876</v>
      </c>
      <c r="I18" s="54">
        <f>-[2]Historicals!I95/I16</f>
        <v>1.1404271169605165</v>
      </c>
      <c r="J18" s="54">
        <f>I18*(1+J19)</f>
        <v>1.2778655740193714</v>
      </c>
      <c r="K18" s="54">
        <f>J18*(1+Y18)</f>
        <v>1.2778655740193714</v>
      </c>
      <c r="L18" s="54">
        <f>K18*(1+Z18)</f>
        <v>1.2778655740193714</v>
      </c>
      <c r="M18" s="54">
        <f>L18*(1+AA18)</f>
        <v>1.2778655740193714</v>
      </c>
      <c r="N18" s="54">
        <f>M18*(1+AB18)</f>
        <v>1.2778655740193714</v>
      </c>
      <c r="O18" s="54"/>
      <c r="P18" s="54"/>
      <c r="Q18" s="54"/>
      <c r="R18" s="54"/>
      <c r="S18" s="54"/>
      <c r="T18" s="54"/>
      <c r="U18" s="54"/>
      <c r="V18" s="54"/>
      <c r="W18" s="54"/>
      <c r="X18" t="s">
        <v>229</v>
      </c>
    </row>
    <row r="19" spans="1:24" x14ac:dyDescent="0.25">
      <c r="A19" s="51" t="s">
        <v>129</v>
      </c>
      <c r="B19" s="52" t="str">
        <f>'[3]Three Statements'!B18</f>
        <v>nm</v>
      </c>
      <c r="C19" s="52">
        <f>'[3]Three Statements'!C18</f>
        <v>-0.98757950408791528</v>
      </c>
      <c r="D19" s="52">
        <f>'[3]Three Statements'!D18</f>
        <v>0.35752471523748142</v>
      </c>
      <c r="E19" s="52">
        <f>'[3]Three Statements'!E18</f>
        <v>0.93416039855426392</v>
      </c>
      <c r="F19" s="52">
        <f>'[3]Three Statements'!F18</f>
        <v>23.827227789511525</v>
      </c>
      <c r="G19" s="52">
        <f>'[3]Three Statements'!G18</f>
        <v>0.10844546481641237</v>
      </c>
      <c r="H19" s="52">
        <f>'[3]Three Statements'!H18</f>
        <v>0.11562237146023313</v>
      </c>
      <c r="I19" s="52">
        <f>'[3]Three Statements'!I18</f>
        <v>0.12051489745803123</v>
      </c>
      <c r="J19" s="53">
        <f t="shared" ref="J19:N19" si="18">I19</f>
        <v>0.12051489745803123</v>
      </c>
      <c r="K19" s="53">
        <f t="shared" si="18"/>
        <v>0.12051489745803123</v>
      </c>
      <c r="L19" s="53">
        <f t="shared" si="18"/>
        <v>0.12051489745803123</v>
      </c>
      <c r="M19" s="53">
        <f t="shared" si="18"/>
        <v>0.12051489745803123</v>
      </c>
      <c r="N19" s="53">
        <f t="shared" si="18"/>
        <v>0.12051489745803123</v>
      </c>
      <c r="O19" s="53"/>
      <c r="P19" s="53"/>
      <c r="Q19" s="53"/>
      <c r="R19" s="53"/>
      <c r="S19" s="53"/>
      <c r="T19" s="53"/>
      <c r="U19" s="53"/>
      <c r="V19" s="53"/>
      <c r="W19" s="53"/>
      <c r="X19" t="s">
        <v>230</v>
      </c>
    </row>
    <row r="20" spans="1:24" x14ac:dyDescent="0.25">
      <c r="A20" s="51" t="s">
        <v>157</v>
      </c>
      <c r="B20" s="52">
        <f>IFERROR(B18*B16/B15,"nm")</f>
        <v>0.27467155514818214</v>
      </c>
      <c r="C20" s="52">
        <f t="shared" ref="C20:N20" si="19">IFERROR(C18*C16/C15,"nm")</f>
        <v>5.8510638297872338E-3</v>
      </c>
      <c r="D20" s="52">
        <f t="shared" si="19"/>
        <v>6.8396226415094342E-3</v>
      </c>
      <c r="E20" s="52">
        <f t="shared" si="19"/>
        <v>2.8453181583031558E-2</v>
      </c>
      <c r="F20" s="52">
        <f t="shared" si="19"/>
        <v>0.33060312732688013</v>
      </c>
      <c r="G20" s="52">
        <f t="shared" si="19"/>
        <v>0.57187869239858213</v>
      </c>
      <c r="H20" s="52">
        <f t="shared" si="19"/>
        <v>0.28601361969617606</v>
      </c>
      <c r="I20" s="52">
        <f>IFERROR(I18*I16/I15,"nm")</f>
        <v>0.30383724776711873</v>
      </c>
      <c r="J20" s="52">
        <f t="shared" si="19"/>
        <v>0.3429899045980454</v>
      </c>
      <c r="K20" s="52">
        <f t="shared" si="19"/>
        <v>0.3270409841787143</v>
      </c>
      <c r="L20" s="52">
        <f t="shared" si="19"/>
        <v>0.31183368343719925</v>
      </c>
      <c r="M20" s="52">
        <f t="shared" si="19"/>
        <v>0.29733351729663843</v>
      </c>
      <c r="N20" s="52">
        <f t="shared" si="19"/>
        <v>0.28350760422516985</v>
      </c>
      <c r="O20" s="52"/>
      <c r="P20" s="52"/>
      <c r="Q20" s="52"/>
      <c r="R20" s="52"/>
      <c r="S20" s="52"/>
      <c r="T20" s="52"/>
      <c r="U20" s="52"/>
      <c r="V20" s="52"/>
      <c r="W20" s="52"/>
    </row>
    <row r="21" spans="1:24" x14ac:dyDescent="0.25">
      <c r="A21" s="55" t="s">
        <v>158</v>
      </c>
      <c r="B21" s="38"/>
      <c r="C21" s="38"/>
      <c r="D21" s="38"/>
      <c r="E21" s="38"/>
      <c r="F21" s="38"/>
      <c r="G21" s="38"/>
      <c r="H21" s="38"/>
      <c r="I21" s="38"/>
      <c r="J21" s="37"/>
      <c r="K21" s="37"/>
      <c r="L21" s="37"/>
      <c r="M21" s="37"/>
      <c r="N21" s="37"/>
      <c r="O21" s="37" t="s">
        <v>227</v>
      </c>
      <c r="P21" s="37">
        <f>P2</f>
        <v>2015</v>
      </c>
      <c r="Q21" s="37">
        <f t="shared" ref="Q21:W21" si="20">Q2</f>
        <v>2016</v>
      </c>
      <c r="R21" s="37">
        <f t="shared" si="20"/>
        <v>2017</v>
      </c>
      <c r="S21" s="37">
        <f t="shared" si="20"/>
        <v>2018</v>
      </c>
      <c r="T21" s="37">
        <f t="shared" si="20"/>
        <v>2019</v>
      </c>
      <c r="U21" s="37">
        <f t="shared" si="20"/>
        <v>2020</v>
      </c>
      <c r="V21" s="37">
        <f t="shared" si="20"/>
        <v>2021</v>
      </c>
      <c r="W21" s="37">
        <f t="shared" si="20"/>
        <v>2022</v>
      </c>
    </row>
    <row r="22" spans="1:24" x14ac:dyDescent="0.25">
      <c r="A22" t="s">
        <v>159</v>
      </c>
      <c r="B22" s="3">
        <f>[2]Historicals!B25</f>
        <v>3852</v>
      </c>
      <c r="C22" s="3">
        <f>[2]Historicals!C25</f>
        <v>3138</v>
      </c>
      <c r="D22" s="3">
        <f>[2]Historicals!D25</f>
        <v>3808</v>
      </c>
      <c r="E22" s="3">
        <f>[2]Historicals!E25</f>
        <v>4249</v>
      </c>
      <c r="F22" s="3">
        <f>[2]Historicals!F25</f>
        <v>4466</v>
      </c>
      <c r="G22" s="3">
        <f>[2]Historicals!G25</f>
        <v>8348</v>
      </c>
      <c r="H22" s="3">
        <f>[2]Historicals!H25</f>
        <v>9889</v>
      </c>
      <c r="I22" s="3">
        <f>[2]Historicals!I25</f>
        <v>8574</v>
      </c>
      <c r="J22" s="3">
        <f>J79</f>
        <v>9031.2997380186316</v>
      </c>
      <c r="K22" s="3">
        <f>K79</f>
        <v>9725.4229951940579</v>
      </c>
      <c r="L22" s="3">
        <f t="shared" ref="L22:N22" si="21">L79</f>
        <v>10408.35751483178</v>
      </c>
      <c r="M22" s="3">
        <f t="shared" si="21"/>
        <v>11074.862734574037</v>
      </c>
      <c r="N22" s="3">
        <f t="shared" si="21"/>
        <v>11713.820009178307</v>
      </c>
      <c r="O22" s="95">
        <f>(Q22+R22+S22+T22)/4</f>
        <v>4.9000000000000002E-2</v>
      </c>
      <c r="P22" s="3"/>
      <c r="Q22" s="95">
        <v>-0.185</v>
      </c>
      <c r="R22" s="95">
        <v>0.214</v>
      </c>
      <c r="S22" s="95">
        <v>0.11600000000000001</v>
      </c>
      <c r="T22" s="95">
        <v>5.0999999999999997E-2</v>
      </c>
      <c r="U22" s="3"/>
      <c r="V22" s="3"/>
      <c r="W22" s="3"/>
    </row>
    <row r="23" spans="1:24" x14ac:dyDescent="0.25">
      <c r="A23" t="s">
        <v>160</v>
      </c>
      <c r="B23" s="3">
        <f>Historicals!B26</f>
        <v>2072</v>
      </c>
      <c r="C23" s="3">
        <f>Historicals!C26</f>
        <v>2319</v>
      </c>
      <c r="D23" s="3">
        <f>Historicals!D26</f>
        <v>2371</v>
      </c>
      <c r="E23" s="3">
        <f>Historicals!E26</f>
        <v>996</v>
      </c>
      <c r="F23" s="3">
        <f>Historicals!F26</f>
        <v>197</v>
      </c>
      <c r="G23" s="3">
        <f>Historicals!G26</f>
        <v>439</v>
      </c>
      <c r="H23" s="3">
        <f>Historicals!H26</f>
        <v>3587</v>
      </c>
      <c r="I23" s="3">
        <f>Historicals!I26</f>
        <v>4423</v>
      </c>
      <c r="J23" s="3">
        <f>SUM(G23:I23)/3</f>
        <v>2816.3333333333335</v>
      </c>
      <c r="K23" s="3">
        <f t="shared" ref="K23:N23" si="22">SUM(H23:J23)/3</f>
        <v>3608.7777777777778</v>
      </c>
      <c r="L23" s="3">
        <f t="shared" si="22"/>
        <v>3616.037037037037</v>
      </c>
      <c r="M23" s="3">
        <f t="shared" si="22"/>
        <v>3347.0493827160494</v>
      </c>
      <c r="N23" s="3">
        <f t="shared" si="22"/>
        <v>3523.9547325102881</v>
      </c>
      <c r="O23" s="3"/>
      <c r="P23" s="3"/>
      <c r="Q23" s="3"/>
      <c r="R23" s="3"/>
      <c r="S23" s="3"/>
      <c r="T23" s="3"/>
      <c r="U23" s="3"/>
      <c r="V23" s="3"/>
      <c r="W23" s="3"/>
    </row>
    <row r="24" spans="1:24" x14ac:dyDescent="0.25">
      <c r="A24" t="s">
        <v>161</v>
      </c>
      <c r="B24" s="3">
        <f>[2]Historicals!B28+[2]Historicals!B27-[2]Historicals!B42</f>
        <v>5564</v>
      </c>
      <c r="C24" s="3">
        <f>[2]Historicals!C28+[2]Historicals!C27-[2]Historicals!C42</f>
        <v>5888</v>
      </c>
      <c r="D24" s="3">
        <f>[2]Historicals!D28+[2]Historicals!D27-[2]Historicals!D42</f>
        <v>6684</v>
      </c>
      <c r="E24" s="3">
        <f>[2]Historicals!E28+[2]Historicals!E27-[2]Historicals!E42</f>
        <v>6480</v>
      </c>
      <c r="F24" s="3">
        <f>[2]Historicals!F28+[2]Historicals!F27-[2]Historicals!F42</f>
        <v>7282</v>
      </c>
      <c r="G24" s="3">
        <f>[2]Historicals!G28+[2]Historicals!G27-[2]Historicals!G42</f>
        <v>7868</v>
      </c>
      <c r="H24" s="3">
        <f>[2]Historicals!H28+[2]Historicals!H27-[2]Historicals!H42</f>
        <v>8481</v>
      </c>
      <c r="I24" s="3">
        <f>[2]Historicals!I28+[2]Historicals!I27-[2]Historicals!I42</f>
        <v>9729</v>
      </c>
      <c r="J24" s="3">
        <f>J3*(O24)</f>
        <v>9378.326239119493</v>
      </c>
      <c r="K24" s="3">
        <f>K3*(O24)</f>
        <v>9835.6823079004771</v>
      </c>
      <c r="L24" s="3">
        <f>L3*(O24)</f>
        <v>10315.342417756328</v>
      </c>
      <c r="M24" s="3">
        <f>M3*(O24)</f>
        <v>10818.394277547221</v>
      </c>
      <c r="N24" s="3">
        <f>N3*(O24)</f>
        <v>11345.978640806292</v>
      </c>
      <c r="O24" s="95">
        <f>(P24+Q24+R24+S24+T24+U24+V24+W24)/8</f>
        <v>0.19144159881536918</v>
      </c>
      <c r="P24" s="95">
        <f>B24/B3</f>
        <v>0.18182412339466031</v>
      </c>
      <c r="Q24" s="95">
        <f t="shared" ref="Q24:W24" si="23">C24/C3</f>
        <v>0.1818631084754139</v>
      </c>
      <c r="R24" s="95">
        <f t="shared" si="23"/>
        <v>0.19458515283842795</v>
      </c>
      <c r="S24" s="95">
        <f t="shared" si="23"/>
        <v>0.17803665137236585</v>
      </c>
      <c r="T24" s="95">
        <f t="shared" si="23"/>
        <v>0.18615947030702765</v>
      </c>
      <c r="U24" s="95">
        <f t="shared" si="23"/>
        <v>0.21035745795791783</v>
      </c>
      <c r="V24" s="95">
        <f t="shared" si="23"/>
        <v>0.19042166240064665</v>
      </c>
      <c r="W24" s="95">
        <f t="shared" si="23"/>
        <v>0.20828516377649325</v>
      </c>
    </row>
    <row r="25" spans="1:24" x14ac:dyDescent="0.25">
      <c r="A25" s="51" t="s">
        <v>162</v>
      </c>
      <c r="B25" s="52">
        <f>IFERROR(B24/B3,"nm")</f>
        <v>0.18182412339466031</v>
      </c>
      <c r="C25" s="52">
        <f t="shared" ref="C25:N25" si="24">IFERROR(C24/C3,"nm")</f>
        <v>0.1818631084754139</v>
      </c>
      <c r="D25" s="52">
        <f t="shared" si="24"/>
        <v>0.19458515283842795</v>
      </c>
      <c r="E25" s="52">
        <f t="shared" si="24"/>
        <v>0.17803665137236585</v>
      </c>
      <c r="F25" s="52">
        <f t="shared" si="24"/>
        <v>0.18615947030702765</v>
      </c>
      <c r="G25" s="52">
        <f t="shared" si="24"/>
        <v>0.21035745795791783</v>
      </c>
      <c r="H25" s="52">
        <f t="shared" si="24"/>
        <v>0.19042166240064665</v>
      </c>
      <c r="I25" s="52">
        <f t="shared" si="24"/>
        <v>0.20828516377649325</v>
      </c>
      <c r="J25" s="52">
        <f>J24/J3</f>
        <v>0.19144159881536921</v>
      </c>
      <c r="K25" s="52">
        <f t="shared" si="24"/>
        <v>0.19144159881536918</v>
      </c>
      <c r="L25" s="52">
        <f t="shared" si="24"/>
        <v>0.19144159881536918</v>
      </c>
      <c r="M25" s="52">
        <f t="shared" si="24"/>
        <v>0.19144159881536918</v>
      </c>
      <c r="N25" s="52">
        <f t="shared" si="24"/>
        <v>0.19144159881536918</v>
      </c>
      <c r="O25" s="52"/>
      <c r="P25" s="52"/>
      <c r="Q25" s="52"/>
      <c r="R25" s="52"/>
      <c r="S25" s="52"/>
      <c r="T25" s="52"/>
      <c r="U25" s="52"/>
      <c r="V25" s="52"/>
      <c r="W25" s="52"/>
    </row>
    <row r="26" spans="1:24" x14ac:dyDescent="0.25">
      <c r="A26" t="s">
        <v>163</v>
      </c>
      <c r="B26" s="3">
        <f>Historicals!B30</f>
        <v>1968</v>
      </c>
      <c r="C26" s="3">
        <f>Historicals!C30</f>
        <v>1489</v>
      </c>
      <c r="D26" s="3">
        <f>Historicals!D30</f>
        <v>1150</v>
      </c>
      <c r="E26" s="3">
        <f>Historicals!E30</f>
        <v>1130</v>
      </c>
      <c r="F26" s="3">
        <f>Historicals!F30</f>
        <v>1968</v>
      </c>
      <c r="G26" s="3">
        <f>Historicals!G30</f>
        <v>1653</v>
      </c>
      <c r="H26" s="3">
        <f>Historicals!H30</f>
        <v>1498</v>
      </c>
      <c r="I26" s="3">
        <f>Historicals!I30</f>
        <v>2129</v>
      </c>
      <c r="J26" s="3">
        <f>I26*(1+O26)</f>
        <v>2247.5143333333335</v>
      </c>
      <c r="K26" s="3">
        <f>J26*(1+O26)</f>
        <v>2372.625964555556</v>
      </c>
      <c r="L26" s="3">
        <f>K26*(1+O26)</f>
        <v>2504.7021432491488</v>
      </c>
      <c r="M26" s="3">
        <f>L26*(1+O26)</f>
        <v>2644.1305625566852</v>
      </c>
      <c r="N26" s="3">
        <f>M26*(1+O26)</f>
        <v>2791.3204972056742</v>
      </c>
      <c r="O26" s="95">
        <f>(U26+V26+W26)/3</f>
        <v>5.5666666666666663E-2</v>
      </c>
      <c r="P26" s="3"/>
      <c r="Q26" s="3"/>
      <c r="R26" s="3"/>
      <c r="S26" s="3"/>
      <c r="T26" s="3"/>
      <c r="U26" s="95">
        <v>-0.16</v>
      </c>
      <c r="V26" s="95">
        <v>-9.4E-2</v>
      </c>
      <c r="W26" s="95">
        <v>0.42099999999999999</v>
      </c>
    </row>
    <row r="27" spans="1:24" x14ac:dyDescent="0.25">
      <c r="A27" t="s">
        <v>164</v>
      </c>
      <c r="B27" s="3">
        <f>[2]Historicals!B32</f>
        <v>3011</v>
      </c>
      <c r="C27" s="3">
        <f>[2]Historicals!C32</f>
        <v>3520</v>
      </c>
      <c r="D27" s="3">
        <f>[2]Historicals!D32</f>
        <v>3989</v>
      </c>
      <c r="E27" s="3">
        <f>[2]Historicals!E32</f>
        <v>4454</v>
      </c>
      <c r="F27" s="3">
        <f>[2]Historicals!F32</f>
        <v>4744</v>
      </c>
      <c r="G27" s="3">
        <f>[2]Historicals!G32</f>
        <v>4866</v>
      </c>
      <c r="H27" s="3">
        <f>[2]Historicals!H32</f>
        <v>4904</v>
      </c>
      <c r="I27" s="3">
        <f>[2]Historicals!I32</f>
        <v>4791</v>
      </c>
      <c r="J27" s="3">
        <f>I27*(1+O27)</f>
        <v>5129.4154447030032</v>
      </c>
      <c r="K27" s="3">
        <f>J27*(1+O27)</f>
        <v>5491.7350875303091</v>
      </c>
      <c r="L27" s="3">
        <f>K27*(1+O27)</f>
        <v>5879.6474172814378</v>
      </c>
      <c r="M27" s="3">
        <f>L27*(1+O27)</f>
        <v>6294.9601902758368</v>
      </c>
      <c r="N27" s="3">
        <f>M27*(1+O27)</f>
        <v>6739.6088548928064</v>
      </c>
      <c r="O27" s="95">
        <f>(Q27+R27+S27+T27+U27+V27+W27)/7</f>
        <v>7.0635659508036602E-2</v>
      </c>
      <c r="P27" s="3"/>
      <c r="Q27" s="96">
        <f>+IFERROR(C27/B27-1,"n+m")</f>
        <v>0.16904682829624718</v>
      </c>
      <c r="R27" s="96">
        <f>+IFERROR(D27/C27-1,"n+m")</f>
        <v>0.13323863636363642</v>
      </c>
      <c r="S27" s="96">
        <f>+IFERROR(E27/D27-1,"n+m")</f>
        <v>0.11657056906492858</v>
      </c>
      <c r="T27" s="96">
        <f>+IFERROR(F27/E27-1,"n+m")</f>
        <v>6.5110013471037176E-2</v>
      </c>
      <c r="U27" s="96">
        <f t="shared" ref="U27:W27" si="25">+IFERROR(G27/F27-1,"n+m")</f>
        <v>2.5716694772343951E-2</v>
      </c>
      <c r="V27" s="96">
        <f t="shared" si="25"/>
        <v>7.8092889436909285E-3</v>
      </c>
      <c r="W27" s="97">
        <f t="shared" si="25"/>
        <v>-2.3042414355628038E-2</v>
      </c>
    </row>
    <row r="28" spans="1:24" x14ac:dyDescent="0.25">
      <c r="A28" t="s">
        <v>165</v>
      </c>
      <c r="B28" s="3">
        <f>[2]Historicals!B34</f>
        <v>281</v>
      </c>
      <c r="C28" s="3">
        <f>[2]Historicals!C34</f>
        <v>281</v>
      </c>
      <c r="D28" s="3">
        <f>[2]Historicals!D34</f>
        <v>283</v>
      </c>
      <c r="E28" s="3">
        <f>[2]Historicals!E34</f>
        <v>285</v>
      </c>
      <c r="F28" s="3">
        <f>[2]Historicals!F34</f>
        <v>283</v>
      </c>
      <c r="G28" s="3">
        <f>[2]Historicals!G34</f>
        <v>274</v>
      </c>
      <c r="H28" s="3">
        <f>[2]Historicals!H34</f>
        <v>269</v>
      </c>
      <c r="I28" s="3">
        <f>[2]Historicals!I34</f>
        <v>286</v>
      </c>
      <c r="J28" s="3">
        <f>SUM(B28:I28)/8</f>
        <v>280.25</v>
      </c>
      <c r="K28" s="3">
        <f t="shared" ref="K28:N28" si="26">SUM(C28:J28)/8</f>
        <v>280.15625</v>
      </c>
      <c r="L28" s="3">
        <f t="shared" si="26"/>
        <v>280.05078125</v>
      </c>
      <c r="M28" s="3">
        <f t="shared" si="26"/>
        <v>279.68212890625</v>
      </c>
      <c r="N28" s="3">
        <f t="shared" si="26"/>
        <v>279.01739501953125</v>
      </c>
      <c r="O28" s="3"/>
      <c r="P28" s="3"/>
      <c r="W28" s="98"/>
    </row>
    <row r="29" spans="1:24" x14ac:dyDescent="0.25">
      <c r="A29" t="s">
        <v>40</v>
      </c>
      <c r="B29" s="3">
        <f>[2]Historicals!B35</f>
        <v>131</v>
      </c>
      <c r="C29" s="3">
        <f>[2]Historicals!C35</f>
        <v>131</v>
      </c>
      <c r="D29" s="3">
        <f>[2]Historicals!D35</f>
        <v>139</v>
      </c>
      <c r="E29" s="3">
        <f>[2]Historicals!E35</f>
        <v>154</v>
      </c>
      <c r="F29" s="3">
        <f>[2]Historicals!F35</f>
        <v>154</v>
      </c>
      <c r="G29" s="3">
        <f>[2]Historicals!G35</f>
        <v>223</v>
      </c>
      <c r="H29" s="3">
        <f>[2]Historicals!H35</f>
        <v>242</v>
      </c>
      <c r="I29" s="3">
        <f>[2]Historicals!I35</f>
        <v>284</v>
      </c>
      <c r="J29" s="3">
        <f>I29*(1+O29)</f>
        <v>314.36938977003945</v>
      </c>
      <c r="K29" s="3">
        <f>J29*(1+O29)</f>
        <v>347.98631417037672</v>
      </c>
      <c r="L29" s="3">
        <f>K29*(1+O29)</f>
        <v>385.1980465988259</v>
      </c>
      <c r="M29" s="3">
        <f>L29*(1+O29)</f>
        <v>426.38899595029619</v>
      </c>
      <c r="N29" s="3">
        <f>M29*(1+O29)</f>
        <v>471.98467768152966</v>
      </c>
      <c r="O29" s="95">
        <f>(R29+S29+V29+W29)/4</f>
        <v>0.10693447102126558</v>
      </c>
      <c r="P29" s="3"/>
      <c r="Q29" s="96"/>
      <c r="R29" s="96">
        <f>+IFERROR(D29/C29-1,"n+m")</f>
        <v>6.1068702290076438E-2</v>
      </c>
      <c r="S29" s="96">
        <f>+IFERROR(E29/D29-1,"n+m")</f>
        <v>0.1079136690647482</v>
      </c>
      <c r="T29" s="96"/>
      <c r="U29" s="96"/>
      <c r="V29" s="96">
        <f>+IFERROR(H29/G29-1,"n+m")</f>
        <v>8.5201793721973118E-2</v>
      </c>
      <c r="W29" s="97">
        <f>+IFERROR(I29/H29-1,"n+m")</f>
        <v>0.17355371900826455</v>
      </c>
    </row>
    <row r="30" spans="1:24" x14ac:dyDescent="0.25">
      <c r="A30" s="56" t="s">
        <v>38</v>
      </c>
      <c r="B30" s="3">
        <f>[2]Historicals!B33</f>
        <v>0</v>
      </c>
      <c r="C30" s="3">
        <f>[2]Historicals!C33</f>
        <v>0</v>
      </c>
      <c r="D30" s="3">
        <f>[2]Historicals!D33</f>
        <v>0</v>
      </c>
      <c r="E30" s="3">
        <f>[2]Historicals!E33</f>
        <v>0</v>
      </c>
      <c r="F30" s="3">
        <f>[2]Historicals!F33</f>
        <v>0</v>
      </c>
      <c r="G30" s="3">
        <f>[2]Historicals!G33</f>
        <v>3097</v>
      </c>
      <c r="H30" s="3">
        <f>[2]Historicals!H33</f>
        <v>3113</v>
      </c>
      <c r="I30" s="3">
        <f>[2]Historicals!I33</f>
        <v>2926</v>
      </c>
      <c r="J30" s="3">
        <f>SUM(G30:I30)/3</f>
        <v>3045.3333333333335</v>
      </c>
      <c r="K30" s="3">
        <f t="shared" ref="K30:N30" si="27">SUM(H30:J30)/3</f>
        <v>3028.1111111111113</v>
      </c>
      <c r="L30" s="3">
        <f t="shared" si="27"/>
        <v>2999.8148148148152</v>
      </c>
      <c r="M30" s="3">
        <f t="shared" si="27"/>
        <v>3024.4197530864203</v>
      </c>
      <c r="N30" s="3">
        <f t="shared" si="27"/>
        <v>3017.4485596707823</v>
      </c>
      <c r="O30" s="3"/>
      <c r="P30" s="3"/>
      <c r="W30" s="98"/>
    </row>
    <row r="31" spans="1:24" x14ac:dyDescent="0.25">
      <c r="A31" t="s">
        <v>166</v>
      </c>
      <c r="B31" s="3">
        <v>2587</v>
      </c>
      <c r="C31" s="3">
        <f>Historicals!C36</f>
        <v>2439</v>
      </c>
      <c r="D31" s="3">
        <f>Historicals!D36</f>
        <v>2787</v>
      </c>
      <c r="E31" s="3">
        <f>Historicals!E36</f>
        <v>2509</v>
      </c>
      <c r="F31" s="3">
        <f>Historicals!F36</f>
        <v>2011</v>
      </c>
      <c r="G31" s="3">
        <f>Historicals!G36</f>
        <v>2326</v>
      </c>
      <c r="H31" s="3">
        <f>Historicals!H36</f>
        <v>2921</v>
      </c>
      <c r="I31" s="3">
        <f>Historicals!I36</f>
        <v>3821</v>
      </c>
      <c r="J31" s="3">
        <f>I31*(1+O31)</f>
        <v>4098.2971992660378</v>
      </c>
      <c r="K31" s="3">
        <f>J31*(1+O31)</f>
        <v>4395.7183809243261</v>
      </c>
      <c r="L31" s="3">
        <f>K31*(1+O31)</f>
        <v>4714.7239804512974</v>
      </c>
      <c r="M31" s="3">
        <f>L31*(1+O31)</f>
        <v>5056.8804198890284</v>
      </c>
      <c r="N31" s="3">
        <f>M31*(1+O31)</f>
        <v>5423.8677994908321</v>
      </c>
      <c r="O31" s="95">
        <f>(Q31+R31+S31+T31+U31+V31+W31)/7</f>
        <v>7.2571891982737016E-2</v>
      </c>
      <c r="P31" s="3"/>
      <c r="Q31" s="96">
        <v>-5.7000000000000002E-2</v>
      </c>
      <c r="R31" s="96">
        <f t="shared" ref="R31:W31" si="28">+IFERROR(D31/C31-1,"n+m")</f>
        <v>0.14268142681426821</v>
      </c>
      <c r="S31" s="96">
        <f t="shared" si="28"/>
        <v>-9.9748833871546427E-2</v>
      </c>
      <c r="T31" s="96">
        <f t="shared" si="28"/>
        <v>-0.19848545237146276</v>
      </c>
      <c r="U31" s="96">
        <f t="shared" si="28"/>
        <v>0.15663848831427152</v>
      </c>
      <c r="V31" s="96">
        <f t="shared" si="28"/>
        <v>0.25580395528804822</v>
      </c>
      <c r="W31" s="97">
        <f t="shared" si="28"/>
        <v>0.30811365970558025</v>
      </c>
    </row>
    <row r="32" spans="1:24" ht="30.75" thickBot="1" x14ac:dyDescent="0.3">
      <c r="A32" s="6" t="s">
        <v>167</v>
      </c>
      <c r="B32" s="7">
        <f>B22+B26+B27+B28+B29+B30+B31+B23+B24</f>
        <v>19466</v>
      </c>
      <c r="C32" s="7">
        <f t="shared" ref="C32:I32" si="29">C22+C26+C27+C28+C29+C30+C31+C23+C24</f>
        <v>19205</v>
      </c>
      <c r="D32" s="7">
        <f t="shared" si="29"/>
        <v>21211</v>
      </c>
      <c r="E32" s="7">
        <f t="shared" si="29"/>
        <v>20257</v>
      </c>
      <c r="F32" s="7">
        <f t="shared" si="29"/>
        <v>21105</v>
      </c>
      <c r="G32" s="7">
        <f t="shared" si="29"/>
        <v>29094</v>
      </c>
      <c r="H32" s="7">
        <f t="shared" si="29"/>
        <v>34904</v>
      </c>
      <c r="I32" s="7">
        <f t="shared" si="29"/>
        <v>36963</v>
      </c>
      <c r="J32" s="7">
        <f>J22+J26+J27+J28+J29+J30+J31+J23+J24</f>
        <v>36341.139010877203</v>
      </c>
      <c r="K32" s="7">
        <f t="shared" ref="K32" si="30">K22+K26+K27+K28+K29+K30+K31+K23+K24</f>
        <v>39086.216189163984</v>
      </c>
      <c r="L32" s="7">
        <f t="shared" ref="L32" si="31">L22+L26+L27+L28+L29+L30+L31+L23+L24</f>
        <v>41103.87415327067</v>
      </c>
      <c r="M32" s="7">
        <f t="shared" ref="M32" si="32">M22+M26+M27+M28+M29+M30+M31+M23+M24</f>
        <v>42966.768445501824</v>
      </c>
      <c r="N32" s="7">
        <f>N22+N26+N27+N28+N29+N30+N31+N23+N24</f>
        <v>45307.001166456044</v>
      </c>
      <c r="O32" s="39"/>
      <c r="P32" s="39"/>
      <c r="Q32" s="96"/>
      <c r="R32" s="96"/>
      <c r="S32" s="96"/>
      <c r="T32" s="96"/>
      <c r="U32" s="96"/>
      <c r="V32" s="96"/>
      <c r="W32" s="97"/>
      <c r="X32" s="99" t="s">
        <v>232</v>
      </c>
    </row>
    <row r="33" spans="1:24" ht="30.75" thickTop="1" x14ac:dyDescent="0.25">
      <c r="A33" t="s">
        <v>168</v>
      </c>
      <c r="B33" s="3">
        <f>B34+B35</f>
        <v>181</v>
      </c>
      <c r="C33" s="3">
        <f t="shared" ref="C33:N33" si="33">C34+C35</f>
        <v>45</v>
      </c>
      <c r="D33" s="3">
        <f t="shared" si="33"/>
        <v>331</v>
      </c>
      <c r="E33" s="3">
        <f t="shared" si="33"/>
        <v>342</v>
      </c>
      <c r="F33" s="3">
        <f t="shared" si="33"/>
        <v>15</v>
      </c>
      <c r="G33" s="3">
        <f t="shared" si="33"/>
        <v>251</v>
      </c>
      <c r="H33" s="3">
        <f t="shared" si="33"/>
        <v>2</v>
      </c>
      <c r="I33" s="3">
        <f t="shared" si="33"/>
        <v>510</v>
      </c>
      <c r="J33" s="3">
        <f t="shared" si="33"/>
        <v>534.38367236966189</v>
      </c>
      <c r="K33" s="3">
        <f t="shared" si="33"/>
        <v>559.95647169578581</v>
      </c>
      <c r="L33" s="3">
        <f t="shared" si="33"/>
        <v>586.77638854259635</v>
      </c>
      <c r="M33" s="3">
        <f t="shared" si="33"/>
        <v>614.90424152015532</v>
      </c>
      <c r="N33" s="3">
        <f t="shared" si="33"/>
        <v>644.40381520064795</v>
      </c>
      <c r="O33" s="3"/>
      <c r="P33" s="3"/>
      <c r="W33" s="98"/>
      <c r="X33" s="100" t="s">
        <v>233</v>
      </c>
    </row>
    <row r="34" spans="1:24" x14ac:dyDescent="0.25">
      <c r="A34" s="2" t="s">
        <v>45</v>
      </c>
      <c r="B34" s="3">
        <f>[2]Historicals!B40</f>
        <v>107</v>
      </c>
      <c r="C34" s="3">
        <f>[2]Historicals!C40</f>
        <v>44</v>
      </c>
      <c r="D34" s="3">
        <f>[2]Historicals!D40</f>
        <v>6</v>
      </c>
      <c r="E34" s="3">
        <f>[2]Historicals!E40</f>
        <v>6</v>
      </c>
      <c r="F34" s="3">
        <f>[2]Historicals!F40</f>
        <v>6</v>
      </c>
      <c r="G34" s="3">
        <f>[2]Historicals!G40</f>
        <v>3</v>
      </c>
      <c r="H34" s="3">
        <f>[2]Historicals!H40</f>
        <v>0</v>
      </c>
      <c r="I34" s="3">
        <f>[2]Historicals!I40</f>
        <v>500</v>
      </c>
      <c r="J34" s="3">
        <f>I34*(1+J4)</f>
        <v>524.38367236966189</v>
      </c>
      <c r="K34" s="3">
        <f t="shared" ref="K34:N34" si="34">J34*(1+K4)</f>
        <v>549.95647169578581</v>
      </c>
      <c r="L34" s="3">
        <f t="shared" si="34"/>
        <v>576.77638854259635</v>
      </c>
      <c r="M34" s="3">
        <f t="shared" si="34"/>
        <v>604.90424152015532</v>
      </c>
      <c r="N34" s="3">
        <f t="shared" si="34"/>
        <v>634.40381520064795</v>
      </c>
      <c r="O34" s="95">
        <v>4.9000000000000002E-2</v>
      </c>
      <c r="P34" s="3"/>
      <c r="W34" s="98"/>
      <c r="X34" s="100" t="s">
        <v>234</v>
      </c>
    </row>
    <row r="35" spans="1:24" x14ac:dyDescent="0.25">
      <c r="A35" s="2" t="s">
        <v>46</v>
      </c>
      <c r="B35" s="3">
        <f>Historicals!B41</f>
        <v>74</v>
      </c>
      <c r="C35" s="3">
        <f>Historicals!C41</f>
        <v>1</v>
      </c>
      <c r="D35" s="3">
        <f>Historicals!D41</f>
        <v>325</v>
      </c>
      <c r="E35" s="3">
        <f>Historicals!E41</f>
        <v>336</v>
      </c>
      <c r="F35" s="3">
        <f>Historicals!F41</f>
        <v>9</v>
      </c>
      <c r="G35" s="3">
        <f>Historicals!G41</f>
        <v>248</v>
      </c>
      <c r="H35" s="3">
        <f>Historicals!H41</f>
        <v>2</v>
      </c>
      <c r="I35" s="3">
        <f>Historicals!I41</f>
        <v>10</v>
      </c>
      <c r="J35" s="3">
        <f>I35</f>
        <v>10</v>
      </c>
      <c r="K35" s="3">
        <f t="shared" ref="K35:N35" si="35">J35</f>
        <v>10</v>
      </c>
      <c r="L35" s="3">
        <f t="shared" si="35"/>
        <v>10</v>
      </c>
      <c r="M35" s="3">
        <f t="shared" si="35"/>
        <v>10</v>
      </c>
      <c r="N35" s="3">
        <f t="shared" si="35"/>
        <v>10</v>
      </c>
      <c r="O35" s="3"/>
      <c r="P35" s="3"/>
      <c r="W35" s="98"/>
      <c r="X35" s="100" t="s">
        <v>235</v>
      </c>
    </row>
    <row r="36" spans="1:24" x14ac:dyDescent="0.25">
      <c r="A36" t="s">
        <v>169</v>
      </c>
      <c r="B36" s="3">
        <v>5499</v>
      </c>
      <c r="C36" s="3">
        <v>4892</v>
      </c>
      <c r="D36" s="3">
        <v>5002</v>
      </c>
      <c r="E36" s="3">
        <v>6635</v>
      </c>
      <c r="F36" s="3">
        <v>8586</v>
      </c>
      <c r="G36" s="3">
        <v>8469</v>
      </c>
      <c r="H36" s="3">
        <v>9791</v>
      </c>
      <c r="I36" s="3">
        <v>9475</v>
      </c>
      <c r="J36" s="3">
        <v>9159</v>
      </c>
      <c r="K36" s="3">
        <v>10000.078113615091</v>
      </c>
      <c r="L36" s="3">
        <v>10918.393086407201</v>
      </c>
      <c r="M36" s="3">
        <v>11921.037639395892</v>
      </c>
      <c r="N36" s="3">
        <v>13015.755823703961</v>
      </c>
      <c r="O36" s="95">
        <f>(Q36+R36+S36+T36+U36+V36+W36)/7</f>
        <v>9.171428571428572E-2</v>
      </c>
      <c r="P36" s="3"/>
      <c r="Q36" s="96">
        <v>-0.11</v>
      </c>
      <c r="R36" s="96">
        <v>2.1999999999999999E-2</v>
      </c>
      <c r="S36" s="96">
        <v>0.32600000000000001</v>
      </c>
      <c r="T36" s="96">
        <v>0.29399999999999998</v>
      </c>
      <c r="U36" s="96">
        <v>-1.4E-2</v>
      </c>
      <c r="V36" s="96">
        <v>0.156</v>
      </c>
      <c r="W36" s="97">
        <v>-3.2000000000000001E-2</v>
      </c>
      <c r="X36" s="100" t="s">
        <v>236</v>
      </c>
    </row>
    <row r="37" spans="1:24" x14ac:dyDescent="0.25">
      <c r="A37" t="s">
        <v>49</v>
      </c>
      <c r="B37" s="3">
        <f>[2]Historicals!B47</f>
        <v>1079</v>
      </c>
      <c r="C37" s="3">
        <f>[2]Historicals!C47</f>
        <v>2010</v>
      </c>
      <c r="D37" s="3">
        <f>[2]Historicals!D47</f>
        <v>3471</v>
      </c>
      <c r="E37" s="3">
        <f>[2]Historicals!E47</f>
        <v>3468</v>
      </c>
      <c r="F37" s="3">
        <f>[2]Historicals!F47</f>
        <v>3464</v>
      </c>
      <c r="G37" s="3">
        <f>[2]Historicals!G47</f>
        <v>9406</v>
      </c>
      <c r="H37" s="3">
        <f>[2]Historicals!H47</f>
        <v>9413</v>
      </c>
      <c r="I37" s="3">
        <f>[2]Historicals!I47</f>
        <v>8920</v>
      </c>
      <c r="J37" s="3">
        <f>I37*(1+V37)</f>
        <v>8926.6383159685302</v>
      </c>
      <c r="K37" s="3">
        <f>J37*(1+V37)</f>
        <v>8933.2815722104806</v>
      </c>
      <c r="L37" s="3">
        <f>K37*(1+V37)</f>
        <v>8939.9297724024291</v>
      </c>
      <c r="M37" s="3">
        <f>L37*(1+V37)</f>
        <v>8946.5829202236946</v>
      </c>
      <c r="N37" s="3">
        <f>M37*(1+V37)</f>
        <v>8953.2410193563301</v>
      </c>
      <c r="O37" s="3"/>
      <c r="P37" s="3"/>
      <c r="Q37" s="96"/>
      <c r="R37" s="96"/>
      <c r="S37" s="96"/>
      <c r="T37" s="96"/>
      <c r="U37" s="96"/>
      <c r="V37" s="96">
        <f>+IFERROR(H37/G37-1,"n+m")</f>
        <v>7.4420582606848917E-4</v>
      </c>
      <c r="W37" s="97"/>
      <c r="X37" s="100" t="s">
        <v>237</v>
      </c>
    </row>
    <row r="38" spans="1:24" x14ac:dyDescent="0.25">
      <c r="A38" s="56" t="s">
        <v>50</v>
      </c>
      <c r="B38" s="3">
        <f>[2]Historicals!B48</f>
        <v>0</v>
      </c>
      <c r="C38" s="3">
        <f>[2]Historicals!C48</f>
        <v>0</v>
      </c>
      <c r="D38" s="3">
        <f>[2]Historicals!D48</f>
        <v>0</v>
      </c>
      <c r="E38" s="3">
        <f>[2]Historicals!E48</f>
        <v>0</v>
      </c>
      <c r="F38" s="3">
        <f>[2]Historicals!F48</f>
        <v>0</v>
      </c>
      <c r="G38" s="3">
        <f>[2]Historicals!G48</f>
        <v>2913</v>
      </c>
      <c r="H38" s="3">
        <f>[2]Historicals!H48</f>
        <v>2931</v>
      </c>
      <c r="I38" s="3">
        <f>[2]Historicals!I48</f>
        <v>2777</v>
      </c>
      <c r="J38" s="3">
        <f>I38*(1+V38)</f>
        <v>2794.1596292481977</v>
      </c>
      <c r="K38" s="3">
        <f>J38*(1+V38)</f>
        <v>2811.4252912208954</v>
      </c>
      <c r="L38" s="3">
        <f>K38*(1+V38)</f>
        <v>2828.7976411151544</v>
      </c>
      <c r="M38" s="3">
        <f>L38*(1+V38)</f>
        <v>2846.2773381766283</v>
      </c>
      <c r="N38" s="3">
        <f>M38*(1+V38)</f>
        <v>2863.8650457245785</v>
      </c>
      <c r="O38" s="3"/>
      <c r="P38" s="3"/>
      <c r="Q38" s="96"/>
      <c r="R38" s="96"/>
      <c r="S38" s="96"/>
      <c r="T38" s="96"/>
      <c r="U38" s="96"/>
      <c r="V38" s="96">
        <f>+IFERROR(H38/G38-1,"n+m")</f>
        <v>6.1791967044284579E-3</v>
      </c>
      <c r="W38" s="97"/>
      <c r="X38" s="98"/>
    </row>
    <row r="39" spans="1:24" x14ac:dyDescent="0.25">
      <c r="A39" t="s">
        <v>170</v>
      </c>
      <c r="B39" s="3"/>
      <c r="C39" s="3"/>
      <c r="D39" s="3"/>
      <c r="E39" s="3"/>
      <c r="F39" s="3"/>
      <c r="G39" s="3"/>
      <c r="H39" s="3"/>
      <c r="I39" s="3"/>
      <c r="J39" s="3"/>
      <c r="K39" s="3"/>
      <c r="L39" s="3"/>
      <c r="M39" s="3"/>
      <c r="N39" s="3"/>
      <c r="O39" s="3"/>
      <c r="P39" s="3"/>
      <c r="W39" s="98"/>
      <c r="X39" s="100" t="s">
        <v>238</v>
      </c>
    </row>
    <row r="40" spans="1:24" ht="30" x14ac:dyDescent="0.25">
      <c r="A40" t="s">
        <v>171</v>
      </c>
      <c r="B40" s="3">
        <f>B41+B42+B43+B44</f>
        <v>12707</v>
      </c>
      <c r="C40" s="3">
        <f t="shared" ref="C40:N40" si="36">C41+C42+C43+C44</f>
        <v>12258</v>
      </c>
      <c r="D40" s="3">
        <f t="shared" si="36"/>
        <v>12407</v>
      </c>
      <c r="E40" s="3">
        <f t="shared" si="36"/>
        <v>9812</v>
      </c>
      <c r="F40" s="3">
        <f t="shared" si="36"/>
        <v>9040</v>
      </c>
      <c r="G40" s="3">
        <f t="shared" si="36"/>
        <v>8055</v>
      </c>
      <c r="H40" s="3">
        <f t="shared" si="36"/>
        <v>12767</v>
      </c>
      <c r="I40" s="3">
        <f t="shared" si="36"/>
        <v>15281</v>
      </c>
      <c r="J40" s="3">
        <f t="shared" si="36"/>
        <v>16482.611109861242</v>
      </c>
      <c r="K40" s="3">
        <f t="shared" si="36"/>
        <v>17634.616443291503</v>
      </c>
      <c r="L40" s="3">
        <f t="shared" si="36"/>
        <v>18708.536790243845</v>
      </c>
      <c r="M40" s="3">
        <f t="shared" si="36"/>
        <v>19928.003842942235</v>
      </c>
      <c r="N40" s="3">
        <f t="shared" si="36"/>
        <v>21187.825205551937</v>
      </c>
      <c r="O40" s="3"/>
      <c r="P40" s="3"/>
      <c r="W40" s="98"/>
      <c r="X40" s="100" t="s">
        <v>239</v>
      </c>
    </row>
    <row r="41" spans="1:24" x14ac:dyDescent="0.25">
      <c r="A41" s="2" t="s">
        <v>172</v>
      </c>
      <c r="B41" s="3">
        <f>[2]Historicals!B55</f>
        <v>3</v>
      </c>
      <c r="C41" s="3">
        <f>[2]Historicals!C55</f>
        <v>3</v>
      </c>
      <c r="D41" s="3">
        <f>[2]Historicals!D55</f>
        <v>3</v>
      </c>
      <c r="E41" s="3">
        <f>[2]Historicals!E55</f>
        <v>3</v>
      </c>
      <c r="F41" s="3">
        <f>[2]Historicals!F55</f>
        <v>3</v>
      </c>
      <c r="G41" s="3">
        <f>[2]Historicals!G55</f>
        <v>3</v>
      </c>
      <c r="H41" s="3">
        <f>[2]Historicals!H55</f>
        <v>3</v>
      </c>
      <c r="I41" s="3">
        <f>[2]Historicals!I55</f>
        <v>3</v>
      </c>
      <c r="J41" s="3"/>
      <c r="K41" s="3"/>
      <c r="L41" s="3"/>
      <c r="M41" s="3"/>
      <c r="N41" s="3"/>
      <c r="O41" s="3"/>
      <c r="P41" s="3"/>
      <c r="W41" s="98"/>
      <c r="X41" s="98"/>
    </row>
    <row r="42" spans="1:24" x14ac:dyDescent="0.25">
      <c r="A42" s="2" t="s">
        <v>58</v>
      </c>
      <c r="B42" s="3">
        <f>Historicals!B56</f>
        <v>6773</v>
      </c>
      <c r="C42" s="3">
        <f>Historicals!C56</f>
        <v>7786</v>
      </c>
      <c r="D42" s="3">
        <f>Historicals!D56</f>
        <v>5710</v>
      </c>
      <c r="E42" s="3">
        <f>Historicals!E56</f>
        <v>6384</v>
      </c>
      <c r="F42" s="3">
        <f>Historicals!F56</f>
        <v>7163</v>
      </c>
      <c r="G42" s="3">
        <f>Historicals!G56</f>
        <v>8299</v>
      </c>
      <c r="H42" s="3">
        <f>Historicals!H56</f>
        <v>9965</v>
      </c>
      <c r="I42" s="3">
        <f>Historicals!I56</f>
        <v>11484</v>
      </c>
      <c r="J42" s="3">
        <f>I42*(1+O42)</f>
        <v>12395.5425</v>
      </c>
      <c r="K42" s="3">
        <f>J42*(1+O42)</f>
        <v>13379.438685937499</v>
      </c>
      <c r="L42" s="3">
        <f>K42*(1+O42)</f>
        <v>14441.431631633788</v>
      </c>
      <c r="M42" s="3">
        <f>L42*(1+O42)</f>
        <v>15587.720267394719</v>
      </c>
      <c r="N42" s="3">
        <f>M42*(1+O42)</f>
        <v>16824.995563619173</v>
      </c>
      <c r="O42" s="95">
        <f>(Q42+R42+S42+T42+U42+V42+W42)/8</f>
        <v>7.9375000000000001E-2</v>
      </c>
      <c r="P42" s="3"/>
      <c r="Q42" s="96">
        <v>0.15</v>
      </c>
      <c r="R42" s="96">
        <v>-0.26700000000000002</v>
      </c>
      <c r="S42" s="96">
        <v>0.11799999999999999</v>
      </c>
      <c r="T42" s="96">
        <v>0.122</v>
      </c>
      <c r="U42" s="96">
        <v>0.159</v>
      </c>
      <c r="V42" s="96">
        <v>0.20100000000000001</v>
      </c>
      <c r="W42" s="97">
        <v>0.152</v>
      </c>
      <c r="X42" s="98"/>
    </row>
    <row r="43" spans="1:24" ht="30" x14ac:dyDescent="0.25">
      <c r="A43" s="2" t="s">
        <v>173</v>
      </c>
      <c r="B43" s="3">
        <f>[2]Historicals!B58</f>
        <v>4685</v>
      </c>
      <c r="C43" s="3">
        <f>[2]Historicals!C58</f>
        <v>4151</v>
      </c>
      <c r="D43" s="3">
        <f>[2]Historicals!D58</f>
        <v>6907</v>
      </c>
      <c r="E43" s="3">
        <f>[2]Historicals!E58</f>
        <v>3517</v>
      </c>
      <c r="F43" s="3">
        <f>[2]Historicals!F58</f>
        <v>1643</v>
      </c>
      <c r="G43" s="3">
        <f>[2]Historicals!G58</f>
        <v>-191</v>
      </c>
      <c r="H43" s="3">
        <f>[2]Historicals!H58</f>
        <v>3179</v>
      </c>
      <c r="I43" s="3">
        <f>[2]Historicals!I58</f>
        <v>3476</v>
      </c>
      <c r="J43" s="3">
        <f>J15+J72</f>
        <v>3964.0686098612414</v>
      </c>
      <c r="K43" s="3">
        <f t="shared" ref="K43:N43" si="37">K15+K72</f>
        <v>4034.6777573540039</v>
      </c>
      <c r="L43" s="3">
        <f t="shared" si="37"/>
        <v>4095.3551586100552</v>
      </c>
      <c r="M43" s="3">
        <f t="shared" si="37"/>
        <v>4144.1585755475153</v>
      </c>
      <c r="N43" s="3">
        <f t="shared" si="37"/>
        <v>4178.8921419327635</v>
      </c>
      <c r="X43" s="100" t="s">
        <v>240</v>
      </c>
    </row>
    <row r="44" spans="1:24" x14ac:dyDescent="0.25">
      <c r="A44" s="2" t="s">
        <v>174</v>
      </c>
      <c r="B44" s="3">
        <f>[2]Historicals!B57</f>
        <v>1246</v>
      </c>
      <c r="C44" s="3">
        <f>[2]Historicals!C57</f>
        <v>318</v>
      </c>
      <c r="D44" s="3">
        <f>[2]Historicals!D57</f>
        <v>-213</v>
      </c>
      <c r="E44" s="3">
        <f>[2]Historicals!E57</f>
        <v>-92</v>
      </c>
      <c r="F44" s="3">
        <f>[2]Historicals!F57</f>
        <v>231</v>
      </c>
      <c r="G44" s="3">
        <f>[2]Historicals!G57</f>
        <v>-56</v>
      </c>
      <c r="H44" s="3">
        <f>[2]Historicals!H57</f>
        <v>-380</v>
      </c>
      <c r="I44" s="3">
        <f>[2]Historicals!I57</f>
        <v>318</v>
      </c>
      <c r="J44" s="3">
        <f>+SUM(C44:I44)-3</f>
        <v>123</v>
      </c>
      <c r="K44" s="3">
        <f>+SUM(I44:J44)/2</f>
        <v>220.5</v>
      </c>
      <c r="L44" s="3">
        <f t="shared" ref="L44:N44" si="38">+SUM(J44:K44)/2</f>
        <v>171.75</v>
      </c>
      <c r="M44" s="3">
        <f t="shared" si="38"/>
        <v>196.125</v>
      </c>
      <c r="N44" s="3">
        <f t="shared" si="38"/>
        <v>183.9375</v>
      </c>
      <c r="O44" s="3"/>
      <c r="P44" s="3"/>
      <c r="Q44" s="3"/>
      <c r="R44" s="3"/>
      <c r="S44" s="3"/>
      <c r="T44" s="3"/>
      <c r="U44" s="3"/>
      <c r="V44" s="3"/>
      <c r="W44" s="3"/>
      <c r="X44" s="101" t="s">
        <v>241</v>
      </c>
    </row>
    <row r="45" spans="1:24" ht="15.75" thickBot="1" x14ac:dyDescent="0.3">
      <c r="A45" s="6" t="s">
        <v>175</v>
      </c>
      <c r="B45" s="7">
        <f>B33+B36+B37+B40</f>
        <v>19466</v>
      </c>
      <c r="C45" s="7">
        <f t="shared" ref="C45:N45" si="39">C33+C36+C37+C40</f>
        <v>19205</v>
      </c>
      <c r="D45" s="7">
        <f t="shared" si="39"/>
        <v>21211</v>
      </c>
      <c r="E45" s="7">
        <f t="shared" si="39"/>
        <v>20257</v>
      </c>
      <c r="F45" s="7">
        <f t="shared" si="39"/>
        <v>21105</v>
      </c>
      <c r="G45" s="7">
        <f>G33+G36+G37+G40+G38</f>
        <v>29094</v>
      </c>
      <c r="H45" s="7">
        <f t="shared" ref="H45:N45" si="40">H33+H36+H37+H40+H38</f>
        <v>34904</v>
      </c>
      <c r="I45" s="7">
        <f>I33+I36+I37+I40+I38</f>
        <v>36963</v>
      </c>
      <c r="J45" s="7">
        <f>J33+J36+J37+J40+J38</f>
        <v>37896.792727447639</v>
      </c>
      <c r="K45" s="7">
        <f t="shared" si="40"/>
        <v>39939.35789203376</v>
      </c>
      <c r="L45" s="7">
        <f t="shared" si="40"/>
        <v>41982.433678711226</v>
      </c>
      <c r="M45" s="7">
        <f t="shared" si="40"/>
        <v>44256.805982258607</v>
      </c>
      <c r="N45" s="7">
        <f t="shared" si="40"/>
        <v>46665.090909537452</v>
      </c>
      <c r="O45" s="39"/>
      <c r="P45" s="39"/>
      <c r="Q45" s="39"/>
      <c r="R45" s="39"/>
      <c r="S45" s="39"/>
      <c r="T45" s="39"/>
      <c r="U45" s="39"/>
      <c r="V45" s="39"/>
      <c r="W45" s="39"/>
    </row>
    <row r="46" spans="1:24" s="1" customFormat="1" ht="15.75" thickTop="1" x14ac:dyDescent="0.25">
      <c r="A46" s="57" t="s">
        <v>176</v>
      </c>
      <c r="B46" s="57">
        <f>B32-B45</f>
        <v>0</v>
      </c>
      <c r="C46" s="57">
        <f t="shared" ref="C46:N46" si="41">C32-C45</f>
        <v>0</v>
      </c>
      <c r="D46" s="57">
        <f t="shared" si="41"/>
        <v>0</v>
      </c>
      <c r="E46" s="57">
        <f t="shared" si="41"/>
        <v>0</v>
      </c>
      <c r="F46" s="57">
        <f>F32-F45</f>
        <v>0</v>
      </c>
      <c r="G46" s="57">
        <f t="shared" si="41"/>
        <v>0</v>
      </c>
      <c r="H46" s="57">
        <f t="shared" si="41"/>
        <v>0</v>
      </c>
      <c r="I46" s="57">
        <f t="shared" si="41"/>
        <v>0</v>
      </c>
      <c r="J46" s="57">
        <f>J32-J45</f>
        <v>-1555.6537165704358</v>
      </c>
      <c r="K46" s="57">
        <f t="shared" si="41"/>
        <v>-853.14170286977605</v>
      </c>
      <c r="L46" s="57">
        <f t="shared" si="41"/>
        <v>-878.55952544055617</v>
      </c>
      <c r="M46" s="57">
        <f>M32-M45</f>
        <v>-1290.0375367567831</v>
      </c>
      <c r="N46" s="57">
        <f t="shared" si="41"/>
        <v>-1358.0897430814075</v>
      </c>
      <c r="O46" s="57"/>
      <c r="P46" s="57"/>
      <c r="Q46" s="57"/>
      <c r="R46" s="57"/>
      <c r="S46" s="57"/>
      <c r="T46" s="57"/>
      <c r="U46" s="57"/>
      <c r="V46" s="57"/>
      <c r="W46" s="57"/>
    </row>
    <row r="47" spans="1:24" x14ac:dyDescent="0.25">
      <c r="A47" s="55" t="s">
        <v>177</v>
      </c>
      <c r="B47" s="38"/>
      <c r="C47" s="38"/>
      <c r="D47" s="38"/>
      <c r="E47" s="38"/>
      <c r="F47" s="38"/>
      <c r="G47" s="38"/>
      <c r="H47" s="38"/>
      <c r="I47" s="38"/>
      <c r="J47" s="37"/>
      <c r="K47" s="37"/>
      <c r="L47" s="37"/>
      <c r="M47" s="37"/>
      <c r="N47" s="37"/>
      <c r="O47" s="37" t="s">
        <v>227</v>
      </c>
      <c r="P47" s="37"/>
      <c r="Q47" s="37"/>
      <c r="R47" s="37"/>
      <c r="S47" s="37"/>
      <c r="T47" s="37"/>
      <c r="U47" s="37"/>
      <c r="V47" s="37"/>
      <c r="W47" s="37"/>
    </row>
    <row r="48" spans="1:24" x14ac:dyDescent="0.25">
      <c r="A48" s="1" t="s">
        <v>134</v>
      </c>
      <c r="B48" s="9">
        <v>4233</v>
      </c>
      <c r="C48" s="9">
        <v>4642</v>
      </c>
      <c r="D48" s="9">
        <v>4945</v>
      </c>
      <c r="E48" s="9">
        <v>4379</v>
      </c>
      <c r="F48" s="9">
        <v>4850</v>
      </c>
      <c r="G48" s="9">
        <v>2976</v>
      </c>
      <c r="H48" s="9">
        <v>6923</v>
      </c>
      <c r="I48" s="9">
        <v>6856</v>
      </c>
      <c r="J48" s="9">
        <v>7190.3489155328034</v>
      </c>
      <c r="K48" s="9">
        <v>7541.0031398926139</v>
      </c>
      <c r="L48" s="9">
        <v>7908.7578396960798</v>
      </c>
      <c r="M48" s="9">
        <v>8294.4469597243678</v>
      </c>
      <c r="N48" s="9">
        <v>8698.9451140312813</v>
      </c>
      <c r="O48" s="9"/>
      <c r="P48" s="9"/>
      <c r="Q48" s="9"/>
      <c r="R48" s="9"/>
      <c r="S48" s="9"/>
      <c r="T48" s="9"/>
      <c r="U48" s="9"/>
      <c r="V48" s="9"/>
      <c r="W48" s="9"/>
      <c r="X48" s="103"/>
    </row>
    <row r="49" spans="1:24" x14ac:dyDescent="0.25">
      <c r="A49" t="s">
        <v>132</v>
      </c>
      <c r="B49" s="58">
        <v>606</v>
      </c>
      <c r="C49" s="58">
        <v>649</v>
      </c>
      <c r="D49" s="58">
        <v>706</v>
      </c>
      <c r="E49" s="58">
        <v>747</v>
      </c>
      <c r="F49" s="58">
        <v>705</v>
      </c>
      <c r="G49" s="58">
        <v>721</v>
      </c>
      <c r="H49" s="58">
        <v>744</v>
      </c>
      <c r="I49" s="58">
        <v>717</v>
      </c>
      <c r="J49" s="58">
        <v>751.96618617809509</v>
      </c>
      <c r="K49" s="58">
        <v>788.63758041175674</v>
      </c>
      <c r="L49" s="58">
        <v>827.09734117008304</v>
      </c>
      <c r="M49" s="58">
        <v>867.43268233990261</v>
      </c>
      <c r="N49" s="58">
        <v>909.73507099772894</v>
      </c>
      <c r="O49" s="58"/>
      <c r="P49" s="58"/>
      <c r="Q49" s="58"/>
      <c r="R49" s="58"/>
      <c r="S49" s="58"/>
      <c r="T49" s="58"/>
      <c r="U49" s="58"/>
      <c r="V49" s="58"/>
      <c r="W49" s="58"/>
      <c r="X49" s="103"/>
    </row>
    <row r="50" spans="1:24" x14ac:dyDescent="0.25">
      <c r="A50" t="s">
        <v>178</v>
      </c>
      <c r="B50" s="3">
        <v>1262</v>
      </c>
      <c r="C50" s="3">
        <v>748</v>
      </c>
      <c r="D50" s="3">
        <v>703</v>
      </c>
      <c r="E50" s="3">
        <v>529</v>
      </c>
      <c r="F50" s="3">
        <v>757</v>
      </c>
      <c r="G50" s="3">
        <v>1028</v>
      </c>
      <c r="H50" s="3">
        <v>1177</v>
      </c>
      <c r="I50" s="3">
        <v>1231</v>
      </c>
      <c r="J50" s="58">
        <v>1277.5764396911964</v>
      </c>
      <c r="K50" s="58">
        <v>1325.9151578018141</v>
      </c>
      <c r="L50" s="58">
        <v>1376.082832361521</v>
      </c>
      <c r="M50" s="58">
        <v>1428.1486642474488</v>
      </c>
      <c r="N50" s="58">
        <v>1482.1844726393122</v>
      </c>
      <c r="O50" s="95">
        <f>(Q50+R50+S50+T50+U50+V50+W50)/7</f>
        <v>3.7836262949793871E-2</v>
      </c>
      <c r="P50" s="58"/>
      <c r="Q50" s="96">
        <f t="shared" ref="Q50:W50" si="42">+IFERROR(C50/B50-1,"n+m")</f>
        <v>-0.40729001584786051</v>
      </c>
      <c r="R50" s="96">
        <f t="shared" si="42"/>
        <v>-6.0160427807486649E-2</v>
      </c>
      <c r="S50" s="96">
        <f t="shared" si="42"/>
        <v>-0.24751066856330017</v>
      </c>
      <c r="T50" s="96">
        <f t="shared" si="42"/>
        <v>0.43100189035916814</v>
      </c>
      <c r="U50" s="96">
        <f t="shared" si="42"/>
        <v>0.3579920739762219</v>
      </c>
      <c r="V50" s="96">
        <f t="shared" si="42"/>
        <v>0.14494163424124507</v>
      </c>
      <c r="W50" s="97">
        <f t="shared" si="42"/>
        <v>4.587935429056933E-2</v>
      </c>
      <c r="X50" s="103"/>
    </row>
    <row r="51" spans="1:24" x14ac:dyDescent="0.25">
      <c r="A51" s="1" t="s">
        <v>179</v>
      </c>
      <c r="B51" s="9">
        <v>2971</v>
      </c>
      <c r="C51" s="9">
        <v>3894</v>
      </c>
      <c r="D51" s="9">
        <v>4242</v>
      </c>
      <c r="E51" s="9">
        <v>3850</v>
      </c>
      <c r="F51" s="9">
        <v>4093</v>
      </c>
      <c r="G51" s="9">
        <v>1948</v>
      </c>
      <c r="H51" s="9">
        <v>5746</v>
      </c>
      <c r="I51" s="9">
        <v>5625</v>
      </c>
      <c r="J51" s="9">
        <v>5912.772475841607</v>
      </c>
      <c r="K51" s="9">
        <v>6215.0879820907994</v>
      </c>
      <c r="L51" s="9">
        <v>6532.6750073345593</v>
      </c>
      <c r="M51" s="9">
        <v>6866.2982954769195</v>
      </c>
      <c r="N51" s="9">
        <v>7216.7606413919693</v>
      </c>
      <c r="O51" s="9"/>
      <c r="P51" s="9"/>
      <c r="W51" s="98"/>
      <c r="X51" s="103"/>
    </row>
    <row r="52" spans="1:24" x14ac:dyDescent="0.25">
      <c r="A52" t="s">
        <v>180</v>
      </c>
      <c r="B52" s="3">
        <v>53</v>
      </c>
      <c r="C52" s="3">
        <v>70</v>
      </c>
      <c r="D52" s="3">
        <v>98</v>
      </c>
      <c r="E52" s="3">
        <v>125</v>
      </c>
      <c r="F52" s="3">
        <v>153</v>
      </c>
      <c r="G52" s="3">
        <v>140</v>
      </c>
      <c r="H52" s="3">
        <v>293</v>
      </c>
      <c r="I52" s="3">
        <v>290</v>
      </c>
      <c r="J52" s="58">
        <v>116.12322360142764</v>
      </c>
      <c r="K52" s="58">
        <v>125.04313026283565</v>
      </c>
      <c r="L52" s="58">
        <v>133.81570721001151</v>
      </c>
      <c r="M52" s="58">
        <v>142.37287578545903</v>
      </c>
      <c r="N52" s="58">
        <v>150.57086568604217</v>
      </c>
      <c r="O52" s="95">
        <f>(V52+W52)/2</f>
        <v>1.285E-2</v>
      </c>
      <c r="P52" s="58"/>
      <c r="Q52" s="102"/>
      <c r="R52" s="102"/>
      <c r="S52" s="102"/>
      <c r="T52" s="102"/>
      <c r="U52" s="102"/>
      <c r="V52" s="102">
        <v>1.41E-2</v>
      </c>
      <c r="W52" s="102">
        <v>1.1599999999999999E-2</v>
      </c>
      <c r="X52" s="103"/>
    </row>
    <row r="53" spans="1:24" x14ac:dyDescent="0.25">
      <c r="A53" t="s">
        <v>181</v>
      </c>
      <c r="B53" s="3">
        <v>-113</v>
      </c>
      <c r="C53" s="3">
        <v>-324</v>
      </c>
      <c r="D53" s="3">
        <v>-796</v>
      </c>
      <c r="E53" s="3">
        <v>204</v>
      </c>
      <c r="F53" s="3">
        <v>-802</v>
      </c>
      <c r="G53" s="3">
        <v>-586</v>
      </c>
      <c r="H53" s="3">
        <v>-613</v>
      </c>
      <c r="I53" s="3">
        <v>-1248</v>
      </c>
      <c r="J53" s="58">
        <v>350.67376088050696</v>
      </c>
      <c r="K53" s="58">
        <v>-457.35606878098406</v>
      </c>
      <c r="L53" s="58">
        <v>-479.66010985585126</v>
      </c>
      <c r="M53" s="58">
        <v>-503.05185979089219</v>
      </c>
      <c r="N53" s="58">
        <v>-527.58436325907132</v>
      </c>
      <c r="O53" s="58"/>
      <c r="P53" s="58"/>
      <c r="W53" s="98"/>
      <c r="X53" s="103"/>
    </row>
    <row r="54" spans="1:24" x14ac:dyDescent="0.25">
      <c r="A54" t="s">
        <v>135</v>
      </c>
      <c r="B54" s="3">
        <v>-963</v>
      </c>
      <c r="C54" s="3">
        <v>-1143</v>
      </c>
      <c r="D54" s="3">
        <v>-1105</v>
      </c>
      <c r="E54" s="3">
        <v>-1028</v>
      </c>
      <c r="F54" s="3">
        <v>-1119</v>
      </c>
      <c r="G54" s="3">
        <v>-1086</v>
      </c>
      <c r="H54" s="3">
        <v>-695</v>
      </c>
      <c r="I54" s="3">
        <v>-758</v>
      </c>
      <c r="J54" s="58">
        <v>-787.51968488157706</v>
      </c>
      <c r="K54" s="58">
        <v>-818.18898954614565</v>
      </c>
      <c r="L54" s="58">
        <v>-850.05268498806936</v>
      </c>
      <c r="M54" s="58">
        <v>-883.15728577116477</v>
      </c>
      <c r="N54" s="58">
        <v>-917.55111793057597</v>
      </c>
      <c r="O54" s="95">
        <f>(Q54+R54+S54+T54+U54+W54)/6</f>
        <v>3.9166666666666662E-2</v>
      </c>
      <c r="P54" s="58"/>
      <c r="Q54" s="96">
        <v>0.187</v>
      </c>
      <c r="R54" s="96">
        <v>-3.3000000000000002E-2</v>
      </c>
      <c r="S54" s="96">
        <v>-7.0000000000000007E-2</v>
      </c>
      <c r="T54" s="96">
        <v>8.8999999999999996E-2</v>
      </c>
      <c r="U54" s="96">
        <v>-2.9000000000000001E-2</v>
      </c>
      <c r="V54" s="96"/>
      <c r="W54" s="97">
        <v>9.0999999999999998E-2</v>
      </c>
      <c r="X54" s="103"/>
    </row>
    <row r="55" spans="1:24" x14ac:dyDescent="0.25">
      <c r="A55" s="2" t="s">
        <v>100</v>
      </c>
      <c r="B55" s="104">
        <v>208</v>
      </c>
      <c r="C55" s="104">
        <v>242</v>
      </c>
      <c r="D55" s="104">
        <v>223</v>
      </c>
      <c r="E55" s="104">
        <v>196</v>
      </c>
      <c r="F55" s="104">
        <v>117</v>
      </c>
      <c r="G55" s="104">
        <v>110</v>
      </c>
      <c r="H55" s="104">
        <v>98</v>
      </c>
      <c r="I55" s="104">
        <v>146</v>
      </c>
      <c r="J55" s="104">
        <v>151.68584959460455</v>
      </c>
      <c r="K55" s="104">
        <v>157.59312991258216</v>
      </c>
      <c r="L55" s="104">
        <v>163.73046439084186</v>
      </c>
      <c r="M55" s="104">
        <v>170.10681229893146</v>
      </c>
      <c r="N55" s="105">
        <v>176.73148181776264</v>
      </c>
      <c r="O55" s="95"/>
      <c r="P55" s="58"/>
      <c r="Q55" s="96"/>
      <c r="R55" s="96"/>
      <c r="S55" s="96"/>
      <c r="T55" s="96"/>
      <c r="U55" s="96"/>
      <c r="V55" s="96"/>
      <c r="W55" s="97"/>
      <c r="X55" s="103"/>
    </row>
    <row r="56" spans="1:24" x14ac:dyDescent="0.25">
      <c r="A56" s="2" t="s">
        <v>101</v>
      </c>
      <c r="B56" s="104">
        <v>236</v>
      </c>
      <c r="C56" s="104">
        <v>232</v>
      </c>
      <c r="D56" s="104">
        <v>173</v>
      </c>
      <c r="E56" s="104">
        <v>240</v>
      </c>
      <c r="F56" s="104">
        <v>233</v>
      </c>
      <c r="G56" s="104">
        <v>139</v>
      </c>
      <c r="H56" s="104">
        <v>153</v>
      </c>
      <c r="I56" s="104">
        <v>197</v>
      </c>
      <c r="J56" s="104">
        <v>204.67200253518558</v>
      </c>
      <c r="K56" s="104">
        <v>212.64278488204576</v>
      </c>
      <c r="L56" s="104">
        <v>220.92398277394415</v>
      </c>
      <c r="M56" s="104">
        <v>229.52768508828424</v>
      </c>
      <c r="N56" s="105">
        <v>238.46645149383042</v>
      </c>
      <c r="O56" s="95"/>
      <c r="P56" s="58"/>
      <c r="Q56" s="96"/>
      <c r="R56" s="96"/>
      <c r="S56" s="96"/>
      <c r="T56" s="96"/>
      <c r="U56" s="96"/>
      <c r="V56" s="96"/>
      <c r="W56" s="97"/>
      <c r="X56" s="103"/>
    </row>
    <row r="57" spans="1:24" x14ac:dyDescent="0.25">
      <c r="A57" s="2" t="s">
        <v>102</v>
      </c>
      <c r="B57" s="104">
        <v>69</v>
      </c>
      <c r="C57" s="104">
        <v>44</v>
      </c>
      <c r="D57" s="104">
        <v>51</v>
      </c>
      <c r="E57" s="104">
        <v>76</v>
      </c>
      <c r="F57" s="104">
        <v>49</v>
      </c>
      <c r="G57" s="104">
        <v>28</v>
      </c>
      <c r="H57" s="104">
        <v>94</v>
      </c>
      <c r="I57" s="104">
        <v>78</v>
      </c>
      <c r="J57" s="104">
        <v>81.037645673829829</v>
      </c>
      <c r="K57" s="104">
        <v>84.19358995329732</v>
      </c>
      <c r="L57" s="104">
        <v>87.472439880038806</v>
      </c>
      <c r="M57" s="104">
        <v>90.878981913127774</v>
      </c>
      <c r="N57" s="105">
        <v>94.418188916338949</v>
      </c>
      <c r="O57" s="95"/>
      <c r="P57" s="58"/>
      <c r="Q57" s="96"/>
      <c r="R57" s="96"/>
      <c r="S57" s="96"/>
      <c r="T57" s="96"/>
      <c r="U57" s="96"/>
      <c r="V57" s="96"/>
      <c r="W57" s="97"/>
      <c r="X57" s="103"/>
    </row>
    <row r="58" spans="1:24" x14ac:dyDescent="0.25">
      <c r="A58" s="2" t="s">
        <v>106</v>
      </c>
      <c r="B58" s="104">
        <v>52</v>
      </c>
      <c r="C58" s="104">
        <v>64</v>
      </c>
      <c r="D58" s="104">
        <v>59</v>
      </c>
      <c r="E58" s="104">
        <v>49</v>
      </c>
      <c r="F58" s="104">
        <v>47</v>
      </c>
      <c r="G58" s="104">
        <v>41</v>
      </c>
      <c r="H58" s="104">
        <v>54</v>
      </c>
      <c r="I58" s="104">
        <v>56</v>
      </c>
      <c r="J58" s="104">
        <v>58.180873817108598</v>
      </c>
      <c r="K58" s="104">
        <v>60.446679966469873</v>
      </c>
      <c r="L58" s="104">
        <v>62.80072606772017</v>
      </c>
      <c r="M58" s="104">
        <v>65.246448553014815</v>
      </c>
      <c r="N58" s="105">
        <v>67.787417683525405</v>
      </c>
      <c r="O58" s="95"/>
      <c r="P58" s="58"/>
      <c r="Q58" s="96"/>
      <c r="R58" s="96"/>
      <c r="S58" s="96"/>
      <c r="T58" s="96"/>
      <c r="U58" s="96"/>
      <c r="V58" s="96"/>
      <c r="W58" s="97"/>
      <c r="X58" s="103"/>
    </row>
    <row r="59" spans="1:24" x14ac:dyDescent="0.25">
      <c r="A59" s="2" t="s">
        <v>107</v>
      </c>
      <c r="B59" s="104">
        <v>225</v>
      </c>
      <c r="C59" s="104">
        <v>258</v>
      </c>
      <c r="D59" s="104">
        <v>278</v>
      </c>
      <c r="E59" s="104">
        <v>286</v>
      </c>
      <c r="F59" s="104">
        <v>278</v>
      </c>
      <c r="G59" s="104">
        <v>438</v>
      </c>
      <c r="H59" s="104">
        <v>278</v>
      </c>
      <c r="I59" s="104">
        <v>222</v>
      </c>
      <c r="J59" s="104">
        <v>230.64560691782336</v>
      </c>
      <c r="K59" s="104">
        <v>239.62790986707697</v>
      </c>
      <c r="L59" s="104">
        <v>248.96002119703351</v>
      </c>
      <c r="M59" s="104">
        <v>258.65556390659441</v>
      </c>
      <c r="N59" s="105">
        <v>268.72869153111856</v>
      </c>
      <c r="O59" s="95"/>
      <c r="P59" s="58"/>
      <c r="Q59" s="96"/>
      <c r="R59" s="96"/>
      <c r="S59" s="96"/>
      <c r="T59" s="96"/>
      <c r="U59" s="96"/>
      <c r="V59" s="96"/>
      <c r="W59" s="97"/>
      <c r="X59" s="103"/>
    </row>
    <row r="60" spans="1:24" x14ac:dyDescent="0.25">
      <c r="A60" s="2" t="s">
        <v>104</v>
      </c>
      <c r="B60" s="104">
        <v>69</v>
      </c>
      <c r="C60" s="104">
        <v>39</v>
      </c>
      <c r="D60" s="104">
        <v>30</v>
      </c>
      <c r="E60" s="104">
        <v>22</v>
      </c>
      <c r="F60" s="104">
        <v>18</v>
      </c>
      <c r="G60" s="104">
        <v>12</v>
      </c>
      <c r="H60" s="104">
        <v>7</v>
      </c>
      <c r="I60" s="104">
        <v>9</v>
      </c>
      <c r="J60" s="104">
        <v>9.3504975777495964</v>
      </c>
      <c r="K60" s="104">
        <v>9.7146449946112288</v>
      </c>
      <c r="L60" s="104">
        <v>10.09297383231217</v>
      </c>
      <c r="M60" s="104">
        <v>10.486036374591666</v>
      </c>
      <c r="N60" s="105">
        <v>10.894406413423726</v>
      </c>
      <c r="O60" s="95"/>
      <c r="P60" s="58"/>
      <c r="Q60" s="96"/>
      <c r="R60" s="96"/>
      <c r="S60" s="96"/>
      <c r="T60" s="96"/>
      <c r="U60" s="96"/>
      <c r="V60" s="96"/>
      <c r="W60" s="97"/>
      <c r="X60" s="103"/>
    </row>
    <row r="61" spans="1:24" x14ac:dyDescent="0.25">
      <c r="A61" s="2" t="s">
        <v>108</v>
      </c>
      <c r="B61" s="104">
        <v>144</v>
      </c>
      <c r="C61" s="104">
        <v>312</v>
      </c>
      <c r="D61" s="104">
        <v>387</v>
      </c>
      <c r="E61" s="104">
        <v>325</v>
      </c>
      <c r="F61" s="104">
        <v>333</v>
      </c>
      <c r="G61" s="104">
        <v>356</v>
      </c>
      <c r="H61" s="104">
        <v>107</v>
      </c>
      <c r="I61" s="104">
        <v>50</v>
      </c>
      <c r="J61" s="104">
        <v>51.947208765275533</v>
      </c>
      <c r="K61" s="104">
        <v>53.970249970062383</v>
      </c>
      <c r="L61" s="104">
        <v>56.072076846178724</v>
      </c>
      <c r="M61" s="104">
        <v>58.255757636620373</v>
      </c>
      <c r="N61" s="105">
        <v>60.52448007457626</v>
      </c>
      <c r="O61" s="95"/>
      <c r="P61" s="58"/>
      <c r="Q61" s="96"/>
      <c r="R61" s="96"/>
      <c r="S61" s="96"/>
      <c r="T61" s="96"/>
      <c r="U61" s="96"/>
      <c r="V61" s="96"/>
      <c r="W61" s="97"/>
      <c r="X61" s="103"/>
    </row>
    <row r="62" spans="1:24" ht="24.75" x14ac:dyDescent="0.25">
      <c r="A62" s="108" t="s">
        <v>242</v>
      </c>
      <c r="B62" s="106">
        <v>-40</v>
      </c>
      <c r="C62" s="106">
        <v>-48</v>
      </c>
      <c r="D62" s="106">
        <v>-96</v>
      </c>
      <c r="E62" s="106">
        <v>-166</v>
      </c>
      <c r="F62" s="106">
        <v>44</v>
      </c>
      <c r="G62" s="106">
        <v>-38</v>
      </c>
      <c r="H62" s="106">
        <v>-96</v>
      </c>
      <c r="I62" s="106">
        <v>0</v>
      </c>
      <c r="J62" s="104"/>
      <c r="K62" s="104"/>
      <c r="L62" s="104"/>
      <c r="M62" s="104"/>
      <c r="N62" s="105"/>
      <c r="O62" s="95"/>
      <c r="P62" s="58"/>
      <c r="Q62" s="96"/>
      <c r="R62" s="96"/>
      <c r="S62" s="96"/>
      <c r="T62" s="96"/>
      <c r="U62" s="96"/>
      <c r="V62" s="96"/>
      <c r="W62" s="97"/>
      <c r="X62" s="103"/>
    </row>
    <row r="63" spans="1:24" x14ac:dyDescent="0.25">
      <c r="A63" s="109" t="s">
        <v>176</v>
      </c>
      <c r="B63" s="106">
        <v>0</v>
      </c>
      <c r="C63" s="106">
        <v>0</v>
      </c>
      <c r="D63" s="106">
        <v>0</v>
      </c>
      <c r="E63" s="106">
        <v>0</v>
      </c>
      <c r="F63" s="106">
        <v>0</v>
      </c>
      <c r="G63" s="106">
        <v>0</v>
      </c>
      <c r="H63" s="106">
        <v>0</v>
      </c>
      <c r="I63" s="106">
        <v>0</v>
      </c>
      <c r="J63" s="106">
        <v>0</v>
      </c>
      <c r="K63" s="106">
        <v>0</v>
      </c>
      <c r="L63" s="106">
        <v>0</v>
      </c>
      <c r="M63" s="106">
        <v>0</v>
      </c>
      <c r="N63" s="107">
        <v>0</v>
      </c>
      <c r="O63" s="95"/>
      <c r="P63" s="58"/>
      <c r="Q63" s="96"/>
      <c r="R63" s="96"/>
      <c r="S63" s="96"/>
      <c r="T63" s="96"/>
      <c r="U63" s="96"/>
      <c r="V63" s="96"/>
      <c r="W63" s="97"/>
      <c r="X63" s="103"/>
    </row>
    <row r="64" spans="1:24" x14ac:dyDescent="0.25">
      <c r="A64" s="1" t="s">
        <v>182</v>
      </c>
      <c r="B64" s="9">
        <f>B49-B50+B51-B53-B54</f>
        <v>3391</v>
      </c>
      <c r="C64" s="9">
        <f t="shared" ref="C64:N64" si="43">C49-C50+C51-C53-C54</f>
        <v>5262</v>
      </c>
      <c r="D64" s="9">
        <f t="shared" si="43"/>
        <v>6146</v>
      </c>
      <c r="E64" s="9">
        <f t="shared" si="43"/>
        <v>4892</v>
      </c>
      <c r="F64" s="9">
        <f t="shared" si="43"/>
        <v>5962</v>
      </c>
      <c r="G64" s="9">
        <f t="shared" si="43"/>
        <v>3313</v>
      </c>
      <c r="H64" s="9">
        <f t="shared" si="43"/>
        <v>6621</v>
      </c>
      <c r="I64" s="9">
        <f t="shared" si="43"/>
        <v>7117</v>
      </c>
      <c r="J64" s="9">
        <f t="shared" si="43"/>
        <v>5824.0081463295755</v>
      </c>
      <c r="K64" s="9">
        <f t="shared" si="43"/>
        <v>6953.3554630278713</v>
      </c>
      <c r="L64" s="9">
        <f t="shared" si="43"/>
        <v>7313.4023109870413</v>
      </c>
      <c r="M64" s="9">
        <f t="shared" si="43"/>
        <v>7691.7914591314302</v>
      </c>
      <c r="N64" s="9">
        <f t="shared" si="43"/>
        <v>8089.4467209400336</v>
      </c>
      <c r="O64" s="9"/>
      <c r="P64" s="9"/>
      <c r="Q64" s="96"/>
      <c r="R64" s="96"/>
      <c r="S64" s="96"/>
      <c r="T64" s="96"/>
      <c r="U64" s="96"/>
      <c r="V64" s="96"/>
      <c r="W64" s="97"/>
      <c r="X64" s="103"/>
    </row>
    <row r="65" spans="1:24" x14ac:dyDescent="0.25">
      <c r="A65" t="s">
        <v>183</v>
      </c>
      <c r="B65" s="3">
        <f>+Historicals!B77-('Three Statements'!B51+'Three Statements'!B53+'Three Statements'!B49)</f>
        <v>1144</v>
      </c>
      <c r="C65" s="3">
        <f>+Historicals!C77-('Three Statements'!C51+'Three Statements'!C53+'Three Statements'!C49)</f>
        <v>-820</v>
      </c>
      <c r="D65" s="3">
        <f>+Historicals!D77-('Three Statements'!D51+'Three Statements'!D53+'Three Statements'!D49)</f>
        <v>-306</v>
      </c>
      <c r="E65" s="3">
        <f>+Historicals!E77-('Three Statements'!E51+'Three Statements'!E53+'Three Statements'!E49)</f>
        <v>154</v>
      </c>
      <c r="F65" s="3">
        <f>+Historicals!F77-('Three Statements'!F51+'Three Statements'!F53+'Three Statements'!F49)</f>
        <v>1907</v>
      </c>
      <c r="G65" s="3">
        <f>+Historicals!G77-('Three Statements'!G51+'Three Statements'!G53+'Three Statements'!G49)</f>
        <v>402</v>
      </c>
      <c r="H65" s="3">
        <f>+Historicals!H77-('Three Statements'!H51+'Three Statements'!H53+'Three Statements'!H49)</f>
        <v>780</v>
      </c>
      <c r="I65" s="3">
        <f>+Historicals!I77-('Three Statements'!I51+'Three Statements'!I53+'Three Statements'!I49)</f>
        <v>94</v>
      </c>
      <c r="J65" s="3">
        <f>+SUM(G65:I65)/8</f>
        <v>159.5</v>
      </c>
      <c r="K65" s="3">
        <f>+SUM(G65:J65)/8</f>
        <v>179.4375</v>
      </c>
      <c r="L65" s="3">
        <f>+SUM(G65:K65)/8</f>
        <v>201.8671875</v>
      </c>
      <c r="M65" s="3">
        <f>+SUM(G65:L65)/8</f>
        <v>227.1005859375</v>
      </c>
      <c r="N65" s="3">
        <f>+SUM(G65:M65)/8</f>
        <v>255.4881591796875</v>
      </c>
      <c r="O65" s="58"/>
      <c r="P65" s="58"/>
      <c r="Q65" s="96"/>
      <c r="R65" s="96"/>
      <c r="S65" s="96"/>
      <c r="T65" s="96"/>
      <c r="U65" s="96"/>
      <c r="V65" s="96"/>
      <c r="W65" s="97"/>
      <c r="X65" s="103"/>
    </row>
    <row r="66" spans="1:24" x14ac:dyDescent="0.25">
      <c r="A66" s="26" t="s">
        <v>184</v>
      </c>
      <c r="B66" s="25">
        <f>B49+B51+B53+B65</f>
        <v>4608</v>
      </c>
      <c r="C66" s="25">
        <f t="shared" ref="C66:N66" si="44">C49+C51+C53+C65</f>
        <v>3399</v>
      </c>
      <c r="D66" s="25">
        <f t="shared" si="44"/>
        <v>3846</v>
      </c>
      <c r="E66" s="25">
        <f t="shared" si="44"/>
        <v>4955</v>
      </c>
      <c r="F66" s="25">
        <f t="shared" si="44"/>
        <v>5903</v>
      </c>
      <c r="G66" s="25">
        <f t="shared" si="44"/>
        <v>2485</v>
      </c>
      <c r="H66" s="25">
        <f t="shared" si="44"/>
        <v>6657</v>
      </c>
      <c r="I66" s="25">
        <f t="shared" si="44"/>
        <v>5188</v>
      </c>
      <c r="J66" s="25">
        <f t="shared" si="44"/>
        <v>7174.9124229002091</v>
      </c>
      <c r="K66" s="25">
        <f t="shared" si="44"/>
        <v>6725.8069937215723</v>
      </c>
      <c r="L66" s="25">
        <f t="shared" si="44"/>
        <v>7081.9794261487914</v>
      </c>
      <c r="M66" s="25">
        <f t="shared" si="44"/>
        <v>7457.7797039634297</v>
      </c>
      <c r="N66" s="25">
        <f t="shared" si="44"/>
        <v>7854.3995083103146</v>
      </c>
      <c r="O66" s="39"/>
      <c r="P66" s="39"/>
      <c r="Q66" s="96"/>
      <c r="R66" s="96"/>
      <c r="S66" s="96"/>
      <c r="T66" s="96"/>
      <c r="U66" s="96"/>
      <c r="V66" s="96"/>
      <c r="W66" s="97"/>
      <c r="X66" s="103"/>
    </row>
    <row r="67" spans="1:24" x14ac:dyDescent="0.25">
      <c r="A67" t="s">
        <v>185</v>
      </c>
      <c r="B67" s="104"/>
      <c r="C67" s="104"/>
      <c r="D67" s="104"/>
      <c r="E67" s="104"/>
      <c r="F67" s="104"/>
      <c r="G67" s="104"/>
      <c r="H67" s="104"/>
      <c r="I67" s="104"/>
      <c r="J67" s="104"/>
      <c r="K67" s="104"/>
      <c r="L67" s="104"/>
      <c r="M67" s="104"/>
      <c r="N67" s="104"/>
      <c r="O67" s="58"/>
      <c r="P67" s="58"/>
      <c r="Q67" s="96"/>
      <c r="R67" s="96"/>
      <c r="S67" s="96"/>
      <c r="T67" s="96"/>
      <c r="U67" s="96"/>
      <c r="V67" s="96"/>
      <c r="W67" s="97"/>
    </row>
    <row r="68" spans="1:24" x14ac:dyDescent="0.25">
      <c r="A68" t="s">
        <v>186</v>
      </c>
      <c r="B68" s="104">
        <v>860</v>
      </c>
      <c r="C68" s="104">
        <v>109</v>
      </c>
      <c r="D68" s="104">
        <v>97</v>
      </c>
      <c r="E68" s="104">
        <v>1304</v>
      </c>
      <c r="F68" s="104">
        <v>855</v>
      </c>
      <c r="G68" s="104">
        <v>58</v>
      </c>
      <c r="H68" s="104">
        <v>-3105</v>
      </c>
      <c r="I68" s="104">
        <v>-766</v>
      </c>
      <c r="J68" s="104">
        <v>-73.5</v>
      </c>
      <c r="K68" s="104">
        <v>-190.1875</v>
      </c>
      <c r="L68" s="104">
        <v>-227.5859375</v>
      </c>
      <c r="M68" s="104">
        <v>-268.1591796875</v>
      </c>
      <c r="N68" s="104">
        <v>-464.6790771484375</v>
      </c>
      <c r="O68" s="58"/>
      <c r="P68" s="58"/>
      <c r="Q68" s="96"/>
      <c r="R68" s="96"/>
      <c r="S68" s="96"/>
      <c r="T68" s="96"/>
      <c r="U68" s="96"/>
      <c r="V68" s="96"/>
      <c r="W68" s="97"/>
    </row>
    <row r="69" spans="1:24" x14ac:dyDescent="0.25">
      <c r="A69" s="26" t="s">
        <v>187</v>
      </c>
      <c r="B69" s="25">
        <f>B54+B67+B68</f>
        <v>-103</v>
      </c>
      <c r="C69" s="25">
        <f t="shared" ref="C69:N69" si="45">C54+C67+C68</f>
        <v>-1034</v>
      </c>
      <c r="D69" s="25">
        <f t="shared" si="45"/>
        <v>-1008</v>
      </c>
      <c r="E69" s="25">
        <f t="shared" si="45"/>
        <v>276</v>
      </c>
      <c r="F69" s="25">
        <f t="shared" si="45"/>
        <v>-264</v>
      </c>
      <c r="G69" s="25">
        <f t="shared" si="45"/>
        <v>-1028</v>
      </c>
      <c r="H69" s="25">
        <f t="shared" si="45"/>
        <v>-3800</v>
      </c>
      <c r="I69" s="25">
        <f t="shared" si="45"/>
        <v>-1524</v>
      </c>
      <c r="J69" s="25">
        <f t="shared" si="45"/>
        <v>-861.01968488157706</v>
      </c>
      <c r="K69" s="25">
        <f t="shared" si="45"/>
        <v>-1008.3764895461456</v>
      </c>
      <c r="L69" s="25">
        <f t="shared" si="45"/>
        <v>-1077.6386224880694</v>
      </c>
      <c r="M69" s="25">
        <f t="shared" si="45"/>
        <v>-1151.3164654586649</v>
      </c>
      <c r="N69" s="25">
        <f t="shared" si="45"/>
        <v>-1382.2301950790134</v>
      </c>
      <c r="O69" s="39"/>
      <c r="P69" s="39"/>
      <c r="Q69" s="96"/>
      <c r="R69" s="96"/>
      <c r="S69" s="96"/>
      <c r="T69" s="96"/>
      <c r="U69" s="96"/>
      <c r="V69" s="96"/>
      <c r="W69" s="97"/>
    </row>
    <row r="70" spans="1:24" x14ac:dyDescent="0.25">
      <c r="A70" t="s">
        <v>188</v>
      </c>
      <c r="B70" s="3">
        <f>Historicals!B92+Historicals!B93</f>
        <v>732</v>
      </c>
      <c r="C70" s="3">
        <f>Historicals!C92+Historicals!C93</f>
        <v>-2731</v>
      </c>
      <c r="D70" s="3">
        <f>Historicals!D92+Historicals!D93</f>
        <v>-2734</v>
      </c>
      <c r="E70" s="3">
        <f>Historicals!E92+Historicals!E93</f>
        <v>-3521</v>
      </c>
      <c r="F70" s="3">
        <f>Historicals!F92+Historicals!F94</f>
        <v>-3586</v>
      </c>
      <c r="G70" s="3">
        <f>Historicals!G92+Historicals!G94</f>
        <v>-2182</v>
      </c>
      <c r="H70" s="3">
        <f>Historicals!H92+Historicals!H94</f>
        <v>564</v>
      </c>
      <c r="I70" s="3">
        <f>Historicals!I92+Historicals!I94</f>
        <v>-2863</v>
      </c>
      <c r="J70" s="3">
        <v>-3320</v>
      </c>
      <c r="K70" s="3">
        <v>-2270</v>
      </c>
      <c r="L70" s="3">
        <v>-2300</v>
      </c>
      <c r="M70" s="3">
        <v>-2326</v>
      </c>
      <c r="N70" s="3">
        <v>-2179</v>
      </c>
      <c r="O70" s="58"/>
      <c r="P70" s="58"/>
      <c r="Q70" s="96"/>
      <c r="R70" s="96"/>
      <c r="S70" s="96"/>
      <c r="T70" s="96"/>
      <c r="U70" s="96"/>
      <c r="V70" s="96"/>
      <c r="W70" s="97"/>
    </row>
    <row r="71" spans="1:24" x14ac:dyDescent="0.25">
      <c r="A71" s="51" t="s">
        <v>129</v>
      </c>
      <c r="B71" s="52">
        <v>0.91122715404699739</v>
      </c>
      <c r="C71" s="52">
        <v>-4.7308743169398912</v>
      </c>
      <c r="D71" s="52">
        <v>1.0984987184181616E-3</v>
      </c>
      <c r="E71" s="52">
        <v>0.28785662033650339</v>
      </c>
      <c r="F71" s="52">
        <v>1.8460664583924924E-2</v>
      </c>
      <c r="G71" s="52">
        <v>-0.39152258784160621</v>
      </c>
      <c r="H71" s="52">
        <v>-1.2584784601283228</v>
      </c>
      <c r="I71" s="52">
        <v>-6.0762411347517729</v>
      </c>
      <c r="J71" s="52">
        <v>0.15962277331470487</v>
      </c>
      <c r="K71" s="52">
        <v>-0.3162650602409639</v>
      </c>
      <c r="L71" s="52">
        <v>1.3215859030837107E-2</v>
      </c>
      <c r="M71" s="52">
        <v>1.1304347826087024E-2</v>
      </c>
      <c r="N71" s="52">
        <v>-6.3198624247635449E-2</v>
      </c>
      <c r="O71" s="52"/>
      <c r="P71" s="52"/>
      <c r="Q71" s="96"/>
      <c r="R71" s="96"/>
      <c r="S71" s="96"/>
      <c r="T71" s="96"/>
      <c r="U71" s="96"/>
      <c r="V71" s="96"/>
      <c r="W71" s="97"/>
    </row>
    <row r="72" spans="1:24" x14ac:dyDescent="0.25">
      <c r="A72" t="s">
        <v>189</v>
      </c>
      <c r="B72" s="3">
        <f>Historicals!B94</f>
        <v>-2534</v>
      </c>
      <c r="C72" s="3">
        <f>Historicals!C94</f>
        <v>-1022</v>
      </c>
      <c r="D72" s="3">
        <f>Historicals!D94</f>
        <v>-1133</v>
      </c>
      <c r="E72" s="3">
        <f>Historicals!E94</f>
        <v>-1243</v>
      </c>
      <c r="F72" s="3">
        <f>Historicals!F95</f>
        <v>-1332</v>
      </c>
      <c r="G72" s="3">
        <f>Historicals!G95</f>
        <v>-1452</v>
      </c>
      <c r="H72" s="3">
        <f>Historicals!H95</f>
        <v>-1638</v>
      </c>
      <c r="I72" s="3">
        <f>Historicals!I95</f>
        <v>-1837</v>
      </c>
      <c r="J72" s="3">
        <f>I72*(1+O72)</f>
        <v>-2037.2329999999999</v>
      </c>
      <c r="K72" s="3">
        <f>J72*(1+O72)</f>
        <v>-2259.291397</v>
      </c>
      <c r="L72" s="3">
        <f>K72*(1+O72)</f>
        <v>-2505.5541592730001</v>
      </c>
      <c r="M72" s="3">
        <f>L72*(1+O72)</f>
        <v>-2778.6595626337571</v>
      </c>
      <c r="N72" s="3">
        <f>M72*(1+O72)</f>
        <v>-3081.5334549608365</v>
      </c>
      <c r="O72" s="95">
        <f>(R72+S72+U72+V72+W72)/5</f>
        <v>0.10900000000000001</v>
      </c>
      <c r="P72" s="58"/>
      <c r="Q72" s="96"/>
      <c r="R72" s="96">
        <v>0.109</v>
      </c>
      <c r="S72" s="96">
        <v>9.7000000000000003E-2</v>
      </c>
      <c r="T72" s="96"/>
      <c r="U72" s="96">
        <v>0.09</v>
      </c>
      <c r="V72" s="96">
        <v>0.128</v>
      </c>
      <c r="W72" s="97">
        <v>0.121</v>
      </c>
    </row>
    <row r="73" spans="1:24" x14ac:dyDescent="0.25">
      <c r="A73" t="s">
        <v>190</v>
      </c>
      <c r="B73" s="3">
        <f>SUM(Historicals!B89:B91)</f>
        <v>-89</v>
      </c>
      <c r="C73" s="3">
        <v>801</v>
      </c>
      <c r="D73" s="3">
        <v>1748</v>
      </c>
      <c r="E73" s="3">
        <f>SUM(Historicals!E89:E91)</f>
        <v>-16</v>
      </c>
      <c r="F73" s="3">
        <f>SUM(Historicals!F89:F91)</f>
        <v>-325</v>
      </c>
      <c r="G73" s="3">
        <v>6183</v>
      </c>
      <c r="H73" s="3">
        <f>SUM(Historicals!H89:H91)</f>
        <v>-249</v>
      </c>
      <c r="I73" s="3">
        <f>SUM(Historicals!I89:I91)</f>
        <v>15</v>
      </c>
      <c r="J73" s="104">
        <f>(F73+H73)/2</f>
        <v>-287</v>
      </c>
      <c r="K73" s="104">
        <f>(H73+J73)/2</f>
        <v>-268</v>
      </c>
      <c r="L73" s="104">
        <f>(J73+K73)/2</f>
        <v>-277.5</v>
      </c>
      <c r="M73" s="104">
        <f>(K73+L73)/2</f>
        <v>-272.75</v>
      </c>
      <c r="N73" s="104">
        <f>(L73+M73)/2</f>
        <v>-275.125</v>
      </c>
      <c r="O73" s="58"/>
      <c r="P73" s="58"/>
      <c r="W73" s="98"/>
    </row>
    <row r="74" spans="1:24" x14ac:dyDescent="0.25">
      <c r="A74" t="s">
        <v>191</v>
      </c>
      <c r="B74" s="3">
        <f>Historicals!B95</f>
        <v>-899</v>
      </c>
      <c r="C74" s="3">
        <f>Historicals!C95</f>
        <v>-22</v>
      </c>
      <c r="D74" s="3">
        <f>Historicals!D95</f>
        <v>-29</v>
      </c>
      <c r="E74" s="3">
        <f>Historicals!E95</f>
        <v>-55</v>
      </c>
      <c r="F74" s="3">
        <f>Historicals!F96</f>
        <v>-50</v>
      </c>
      <c r="G74" s="3">
        <f>Historicals!G96</f>
        <v>-58</v>
      </c>
      <c r="H74" s="3">
        <f>Historicals!H96</f>
        <v>-136</v>
      </c>
      <c r="I74" s="3">
        <f>Historicals!I96</f>
        <v>-151</v>
      </c>
      <c r="J74" s="58">
        <f>I74*(1+W74)</f>
        <v>-167.61</v>
      </c>
      <c r="K74" s="58">
        <f>J74*(1+W74)</f>
        <v>-186.04710000000003</v>
      </c>
      <c r="L74" s="58">
        <f>K74*(1+W74)</f>
        <v>-206.51228100000006</v>
      </c>
      <c r="M74" s="58">
        <f>L74*(1+W74)</f>
        <v>-229.22863191000008</v>
      </c>
      <c r="N74" s="58">
        <f>M74*(1+W74)</f>
        <v>-254.44378142010009</v>
      </c>
      <c r="O74" s="58"/>
      <c r="P74" s="58"/>
      <c r="R74" s="96"/>
      <c r="S74" s="96"/>
      <c r="T74" s="96"/>
      <c r="U74" s="96"/>
      <c r="V74" s="96"/>
      <c r="W74" s="97">
        <v>0.11</v>
      </c>
    </row>
    <row r="75" spans="1:24" x14ac:dyDescent="0.25">
      <c r="A75" s="26" t="s">
        <v>192</v>
      </c>
      <c r="B75" s="25">
        <f>B70+B72+B73+B74</f>
        <v>-2790</v>
      </c>
      <c r="C75" s="25">
        <f>C70+C72+C73+C74</f>
        <v>-2974</v>
      </c>
      <c r="D75" s="25">
        <f t="shared" ref="C75:H75" si="46">D70+D72+D73+D74</f>
        <v>-2148</v>
      </c>
      <c r="E75" s="25">
        <f t="shared" si="46"/>
        <v>-4835</v>
      </c>
      <c r="F75" s="25">
        <f t="shared" si="46"/>
        <v>-5293</v>
      </c>
      <c r="G75" s="25">
        <f t="shared" si="46"/>
        <v>2491</v>
      </c>
      <c r="H75" s="25">
        <f t="shared" si="46"/>
        <v>-1459</v>
      </c>
      <c r="I75" s="25">
        <f>I70+I72+I73+I74</f>
        <v>-4836</v>
      </c>
      <c r="J75" s="25">
        <f>J70+J72+J73+J74</f>
        <v>-5811.8429999999998</v>
      </c>
      <c r="K75" s="25">
        <f>K70+K72+K73+K74</f>
        <v>-4983.3384969999997</v>
      </c>
      <c r="L75" s="25">
        <f t="shared" ref="L75:N75" si="47">L70+L72+L73+L74</f>
        <v>-5289.5664402730008</v>
      </c>
      <c r="M75" s="25">
        <f t="shared" si="47"/>
        <v>-5606.638194543757</v>
      </c>
      <c r="N75" s="25">
        <f t="shared" si="47"/>
        <v>-5790.1022363809361</v>
      </c>
      <c r="O75" s="39"/>
      <c r="P75" s="39"/>
      <c r="W75" s="98"/>
    </row>
    <row r="76" spans="1:24" x14ac:dyDescent="0.25">
      <c r="A76" t="s">
        <v>193</v>
      </c>
      <c r="B76" s="3">
        <f>[2]Historicals!B98</f>
        <v>-83</v>
      </c>
      <c r="C76" s="3">
        <f>[2]Historicals!C98</f>
        <v>-105</v>
      </c>
      <c r="D76" s="3">
        <f>[2]Historicals!D98</f>
        <v>-20</v>
      </c>
      <c r="E76" s="3">
        <f>[2]Historicals!E98</f>
        <v>45</v>
      </c>
      <c r="F76" s="3">
        <f>[2]Historicals!F98</f>
        <v>-129</v>
      </c>
      <c r="G76" s="3">
        <f>[2]Historicals!G98</f>
        <v>-66</v>
      </c>
      <c r="H76" s="3">
        <f>[2]Historicals!H98</f>
        <v>143</v>
      </c>
      <c r="I76" s="3">
        <f>[2]Historicals!I98</f>
        <v>-143</v>
      </c>
      <c r="J76" s="86">
        <f>SUM(B76:I76)/8</f>
        <v>-44.75</v>
      </c>
      <c r="K76" s="86">
        <f t="shared" ref="K76:N76" si="48">SUM(C76:J76)/8</f>
        <v>-39.96875</v>
      </c>
      <c r="L76" s="86">
        <f t="shared" si="48"/>
        <v>-31.83984375</v>
      </c>
      <c r="M76" s="86">
        <f t="shared" si="48"/>
        <v>-33.31982421875</v>
      </c>
      <c r="N76" s="86">
        <f t="shared" si="48"/>
        <v>-43.10980224609375</v>
      </c>
      <c r="O76" s="87"/>
      <c r="P76" s="87"/>
      <c r="W76" s="98"/>
    </row>
    <row r="77" spans="1:24" x14ac:dyDescent="0.25">
      <c r="A77" s="26" t="s">
        <v>194</v>
      </c>
      <c r="B77" s="25">
        <f>B66+B69+B75+B76</f>
        <v>1632</v>
      </c>
      <c r="C77" s="25">
        <f>C66+C69+C75+C76</f>
        <v>-714</v>
      </c>
      <c r="D77" s="25">
        <f t="shared" ref="D77:H77" si="49">D66+D69+D75+D76</f>
        <v>670</v>
      </c>
      <c r="E77" s="25">
        <f t="shared" si="49"/>
        <v>441</v>
      </c>
      <c r="F77" s="25">
        <f t="shared" si="49"/>
        <v>217</v>
      </c>
      <c r="G77" s="25">
        <f t="shared" si="49"/>
        <v>3882</v>
      </c>
      <c r="H77" s="25">
        <f t="shared" si="49"/>
        <v>1541</v>
      </c>
      <c r="I77" s="25">
        <f>I66+I69+I75+I76</f>
        <v>-1315</v>
      </c>
      <c r="J77" s="25">
        <f>J66+J69+J75+J76</f>
        <v>457.29973801863252</v>
      </c>
      <c r="K77" s="25">
        <f>K66+K69+K75+K76</f>
        <v>694.12325717542717</v>
      </c>
      <c r="L77" s="25">
        <f>L66+L69+L75+L76</f>
        <v>682.93451963772077</v>
      </c>
      <c r="M77" s="25">
        <f>M66+M69+M75+M76</f>
        <v>666.5052197422574</v>
      </c>
      <c r="N77" s="25">
        <f>N66+N69+N75+N76</f>
        <v>638.95727460427133</v>
      </c>
      <c r="O77" s="39"/>
      <c r="P77" s="39"/>
      <c r="W77" s="98"/>
    </row>
    <row r="78" spans="1:24" x14ac:dyDescent="0.25">
      <c r="A78" t="s">
        <v>195</v>
      </c>
      <c r="B78" s="3">
        <f>[2]Historicals!B100</f>
        <v>2220</v>
      </c>
      <c r="C78" s="3">
        <f>[2]Historicals!C100</f>
        <v>3852</v>
      </c>
      <c r="D78" s="3">
        <f>[2]Historicals!D100</f>
        <v>3138</v>
      </c>
      <c r="E78" s="3">
        <f>[2]Historicals!E100</f>
        <v>3808</v>
      </c>
      <c r="F78" s="3">
        <f>[2]Historicals!F100</f>
        <v>4249</v>
      </c>
      <c r="G78" s="3">
        <f>[2]Historicals!G100</f>
        <v>4466</v>
      </c>
      <c r="H78" s="3">
        <f>[2]Historicals!H100</f>
        <v>8348</v>
      </c>
      <c r="I78" s="3">
        <f>[2]Historicals!I100</f>
        <v>9889</v>
      </c>
      <c r="J78" s="86">
        <f>I79</f>
        <v>8574</v>
      </c>
      <c r="K78" s="86">
        <f>J79</f>
        <v>9031.2997380186316</v>
      </c>
      <c r="L78" s="86">
        <f>K79</f>
        <v>9725.4229951940579</v>
      </c>
      <c r="M78" s="86">
        <f>L79</f>
        <v>10408.35751483178</v>
      </c>
      <c r="N78" s="86">
        <f>M79</f>
        <v>11074.862734574037</v>
      </c>
      <c r="O78" s="87"/>
      <c r="P78" s="87"/>
      <c r="W78" s="98"/>
    </row>
    <row r="79" spans="1:24" ht="15.75" thickBot="1" x14ac:dyDescent="0.3">
      <c r="A79" s="6" t="s">
        <v>196</v>
      </c>
      <c r="B79" s="7">
        <f>B77+B78</f>
        <v>3852</v>
      </c>
      <c r="C79" s="7">
        <f t="shared" ref="C79:N79" si="50">C77+C78</f>
        <v>3138</v>
      </c>
      <c r="D79" s="7">
        <f t="shared" si="50"/>
        <v>3808</v>
      </c>
      <c r="E79" s="7">
        <f t="shared" si="50"/>
        <v>4249</v>
      </c>
      <c r="F79" s="7">
        <f t="shared" si="50"/>
        <v>4466</v>
      </c>
      <c r="G79" s="7">
        <f t="shared" si="50"/>
        <v>8348</v>
      </c>
      <c r="H79" s="7">
        <f t="shared" si="50"/>
        <v>9889</v>
      </c>
      <c r="I79" s="7">
        <f t="shared" si="50"/>
        <v>8574</v>
      </c>
      <c r="J79" s="7">
        <f t="shared" si="50"/>
        <v>9031.2997380186316</v>
      </c>
      <c r="K79" s="7">
        <f t="shared" si="50"/>
        <v>9725.4229951940579</v>
      </c>
      <c r="L79" s="7">
        <f t="shared" si="50"/>
        <v>10408.35751483178</v>
      </c>
      <c r="M79" s="7">
        <f t="shared" si="50"/>
        <v>11074.862734574037</v>
      </c>
      <c r="N79" s="7">
        <f>N77+N78</f>
        <v>11713.820009178307</v>
      </c>
      <c r="O79" s="39"/>
      <c r="P79" s="39"/>
      <c r="Q79" s="96"/>
      <c r="R79" s="96"/>
      <c r="S79" s="96"/>
      <c r="T79" s="96"/>
      <c r="U79" s="96"/>
      <c r="W79" s="98"/>
    </row>
    <row r="80" spans="1:24" ht="15.75" thickTop="1" x14ac:dyDescent="0.25">
      <c r="A80" s="57" t="s">
        <v>176</v>
      </c>
      <c r="B80" s="110">
        <f>B79-B22</f>
        <v>0</v>
      </c>
      <c r="C80" s="110">
        <f t="shared" ref="C80:N80" si="51">C79-C22</f>
        <v>0</v>
      </c>
      <c r="D80" s="110">
        <f t="shared" si="51"/>
        <v>0</v>
      </c>
      <c r="E80" s="110">
        <f t="shared" si="51"/>
        <v>0</v>
      </c>
      <c r="F80" s="110">
        <f t="shared" si="51"/>
        <v>0</v>
      </c>
      <c r="G80" s="110">
        <f t="shared" si="51"/>
        <v>0</v>
      </c>
      <c r="H80" s="110">
        <f t="shared" si="51"/>
        <v>0</v>
      </c>
      <c r="I80" s="110">
        <f>I79-I22</f>
        <v>0</v>
      </c>
      <c r="J80" s="110">
        <f t="shared" si="51"/>
        <v>0</v>
      </c>
      <c r="K80" s="110">
        <f>K79-K22</f>
        <v>0</v>
      </c>
      <c r="L80" s="110">
        <f t="shared" si="51"/>
        <v>0</v>
      </c>
      <c r="M80" s="110">
        <f t="shared" si="51"/>
        <v>0</v>
      </c>
      <c r="N80" s="110">
        <f t="shared" si="51"/>
        <v>0</v>
      </c>
      <c r="O80" s="39"/>
      <c r="P80" s="39"/>
      <c r="W80" s="98"/>
    </row>
    <row r="81" spans="1:17" x14ac:dyDescent="0.25">
      <c r="A81" s="1" t="s">
        <v>197</v>
      </c>
      <c r="B81" s="46">
        <f>B22-B45</f>
        <v>-15614</v>
      </c>
      <c r="C81" s="46">
        <f t="shared" ref="C81:N81" si="52">C22-C45</f>
        <v>-16067</v>
      </c>
      <c r="D81" s="46">
        <f t="shared" si="52"/>
        <v>-17403</v>
      </c>
      <c r="E81" s="46">
        <f t="shared" si="52"/>
        <v>-16008</v>
      </c>
      <c r="F81" s="46">
        <f t="shared" si="52"/>
        <v>-16639</v>
      </c>
      <c r="G81" s="46">
        <f t="shared" si="52"/>
        <v>-20746</v>
      </c>
      <c r="H81" s="46">
        <f t="shared" si="52"/>
        <v>-25015</v>
      </c>
      <c r="I81" s="46">
        <f t="shared" si="52"/>
        <v>-28389</v>
      </c>
      <c r="J81" s="46">
        <f t="shared" si="52"/>
        <v>-28865.492989429007</v>
      </c>
      <c r="K81" s="46">
        <f t="shared" si="52"/>
        <v>-30213.934896839703</v>
      </c>
      <c r="L81" s="46">
        <f t="shared" si="52"/>
        <v>-31574.076163879447</v>
      </c>
      <c r="M81" s="46">
        <f t="shared" si="52"/>
        <v>-33181.943247684569</v>
      </c>
      <c r="N81" s="46">
        <f t="shared" si="52"/>
        <v>-34951.270900359144</v>
      </c>
      <c r="O81" s="46"/>
      <c r="P81" s="46"/>
      <c r="Q81" s="96"/>
    </row>
    <row r="82" spans="1:17" x14ac:dyDescent="0.25">
      <c r="A82" s="1"/>
    </row>
    <row r="83" spans="1:17" x14ac:dyDescent="0.25">
      <c r="Q83" s="9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Berkay Cetinkaya</cp:lastModifiedBy>
  <dcterms:created xsi:type="dcterms:W3CDTF">2020-05-20T17:26:08Z</dcterms:created>
  <dcterms:modified xsi:type="dcterms:W3CDTF">2024-04-29T19:37:25Z</dcterms:modified>
</cp:coreProperties>
</file>