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hir\Downloads\"/>
    </mc:Choice>
  </mc:AlternateContent>
  <xr:revisionPtr revIDLastSave="0" documentId="13_ncr:1_{27B850FB-CFE6-4B9E-B9EF-2586F343795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3" l="1"/>
  <c r="T5" i="3"/>
  <c r="S6" i="3"/>
  <c r="T6" i="3"/>
  <c r="S7" i="3"/>
  <c r="T7" i="3"/>
  <c r="R7" i="3"/>
  <c r="R6" i="3"/>
  <c r="R5" i="3"/>
  <c r="I9" i="3"/>
  <c r="I10" i="3"/>
  <c r="H10" i="3"/>
  <c r="H9" i="3"/>
  <c r="I25" i="3"/>
  <c r="I26" i="3"/>
  <c r="H26" i="3"/>
  <c r="H25" i="3"/>
  <c r="I20" i="3"/>
  <c r="I21" i="3"/>
  <c r="I22" i="3"/>
  <c r="I23" i="3"/>
  <c r="I24" i="3"/>
  <c r="H21" i="3"/>
  <c r="H22" i="3"/>
  <c r="H23" i="3"/>
  <c r="H24" i="3"/>
  <c r="H20" i="3"/>
  <c r="I17" i="3"/>
  <c r="I18" i="3"/>
  <c r="I19" i="3"/>
  <c r="H18" i="3"/>
  <c r="H19" i="3"/>
  <c r="H17" i="3"/>
  <c r="I11" i="3"/>
  <c r="I12" i="3"/>
  <c r="I13" i="3"/>
  <c r="I14" i="3"/>
  <c r="I15" i="3"/>
  <c r="I16" i="3"/>
  <c r="H12" i="3"/>
  <c r="H13" i="3"/>
  <c r="H14" i="3"/>
  <c r="H15" i="3"/>
  <c r="H16" i="3"/>
  <c r="H11" i="3"/>
  <c r="N5" i="3"/>
  <c r="O5" i="3"/>
  <c r="N6" i="3"/>
  <c r="O6" i="3"/>
  <c r="N7" i="3"/>
  <c r="O7" i="3"/>
  <c r="N8" i="3"/>
  <c r="O8" i="3"/>
  <c r="N9" i="3"/>
  <c r="O9" i="3"/>
  <c r="N10" i="3"/>
  <c r="O10" i="3"/>
  <c r="M10" i="3"/>
  <c r="M9" i="3"/>
  <c r="M8" i="3"/>
  <c r="M7" i="3"/>
  <c r="M6" i="3"/>
  <c r="M5" i="3"/>
  <c r="I8" i="3"/>
  <c r="H8" i="3"/>
  <c r="I7" i="3"/>
  <c r="I6" i="3"/>
  <c r="H7" i="3"/>
  <c r="H6" i="3"/>
  <c r="I5" i="3"/>
  <c r="H5" i="3"/>
  <c r="E46" i="3"/>
  <c r="C46" i="3"/>
  <c r="D45" i="3"/>
  <c r="D46" i="3" s="1"/>
  <c r="E45" i="3"/>
  <c r="C45" i="3"/>
  <c r="E50" i="3"/>
  <c r="D51" i="3"/>
  <c r="D50" i="3" s="1"/>
  <c r="E51" i="3"/>
  <c r="C51" i="3"/>
  <c r="E30" i="3"/>
  <c r="D30" i="3"/>
  <c r="C30" i="3"/>
  <c r="D31" i="3"/>
  <c r="E31" i="3"/>
  <c r="C31" i="3"/>
  <c r="D43" i="3"/>
  <c r="E43" i="3"/>
  <c r="C43" i="3"/>
  <c r="D44" i="3"/>
  <c r="E44" i="3"/>
  <c r="C44" i="3"/>
  <c r="E13" i="3"/>
  <c r="D13" i="3"/>
  <c r="C13" i="3"/>
  <c r="D14" i="3"/>
  <c r="E14" i="3"/>
  <c r="C14" i="3"/>
  <c r="C12" i="3"/>
  <c r="D11" i="3"/>
  <c r="D12" i="3" s="1"/>
  <c r="E11" i="3"/>
  <c r="C11" i="3"/>
  <c r="D10" i="3"/>
  <c r="E10" i="3"/>
  <c r="C10" i="3"/>
  <c r="E48" i="3"/>
  <c r="C48" i="3"/>
  <c r="D47" i="3"/>
  <c r="E47" i="3"/>
  <c r="C47" i="3"/>
  <c r="D49" i="3"/>
  <c r="E49" i="3"/>
  <c r="C49" i="3"/>
  <c r="D29" i="3"/>
  <c r="E29" i="3"/>
  <c r="C29" i="3"/>
  <c r="D21" i="3"/>
  <c r="D48" i="3" s="1"/>
  <c r="E21" i="3"/>
  <c r="C21" i="3"/>
  <c r="E19" i="3"/>
  <c r="D19" i="3"/>
  <c r="C19" i="3"/>
  <c r="C50" i="3" s="1"/>
  <c r="D22" i="3"/>
  <c r="E22" i="3"/>
  <c r="C22" i="3"/>
  <c r="D42" i="3"/>
  <c r="E42" i="3"/>
  <c r="C42" i="3"/>
  <c r="D28" i="3"/>
  <c r="E28" i="3"/>
  <c r="C28" i="3"/>
  <c r="D27" i="3"/>
  <c r="E27" i="3"/>
  <c r="C27" i="3"/>
  <c r="D41" i="3"/>
  <c r="D40" i="3" s="1"/>
  <c r="E41" i="3"/>
  <c r="E40" i="3" s="1"/>
  <c r="C41" i="3"/>
  <c r="C40" i="3" s="1"/>
  <c r="E26" i="3"/>
  <c r="D26" i="3"/>
  <c r="D25" i="3"/>
  <c r="E25" i="3"/>
  <c r="C26" i="3"/>
  <c r="C25" i="3"/>
  <c r="D37" i="3"/>
  <c r="E37" i="3"/>
  <c r="C37" i="3"/>
  <c r="D36" i="3"/>
  <c r="E36" i="3"/>
  <c r="C36" i="3"/>
  <c r="D35" i="3"/>
  <c r="E35" i="3"/>
  <c r="C35" i="3"/>
  <c r="D34" i="3"/>
  <c r="E34" i="3"/>
  <c r="C34" i="3"/>
  <c r="D18" i="3"/>
  <c r="E18" i="3"/>
  <c r="C18" i="3"/>
  <c r="D20" i="3"/>
  <c r="E20" i="3"/>
  <c r="C20" i="3"/>
  <c r="D17" i="3"/>
  <c r="E17" i="3"/>
  <c r="C17" i="3"/>
  <c r="E9" i="3"/>
  <c r="E12" i="3" s="1"/>
  <c r="D9" i="3"/>
  <c r="C9" i="3"/>
  <c r="D8" i="3"/>
  <c r="E8" i="3"/>
  <c r="C8" i="3"/>
  <c r="D6" i="3"/>
  <c r="E6" i="3"/>
  <c r="C6" i="3"/>
  <c r="D7" i="3"/>
  <c r="E7" i="3"/>
  <c r="C7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<sst xmlns="http://schemas.openxmlformats.org/spreadsheetml/2006/main" count="209" uniqueCount="164">
  <si>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</si>
  <si>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</si>
  <si>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</si>
  <si>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</si>
  <si>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</si>
  <si>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</si>
  <si>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</si>
  <si>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</si>
  <si>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</si>
  <si>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</si>
  <si>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</si>
  <si>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</si>
  <si>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</si>
  <si>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</si>
  <si>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</si>
  <si>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</si>
  <si>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</si>
  <si>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</si>
  <si>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</si>
  <si>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</si>
  <si>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</si>
  <si>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</si>
  <si>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</si>
  <si>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</si>
  <si>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</si>
  <si>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</si>
  <si>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</si>
  <si>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</si>
  <si>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</si>
  <si>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</si>
  <si>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</si>
  <si>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</si>
  <si>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</si>
  <si>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</si>
  <si>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</si>
  <si>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</si>
  <si>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</si>
  <si>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</si>
  <si>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</si>
  <si>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</si>
  <si>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</si>
  <si>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</si>
  <si>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</si>
  <si>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</si>
  <si>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</si>
  <si>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</si>
  <si>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</si>
  <si>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</si>
  <si>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</si>
  <si>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</si>
  <si>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</si>
  <si>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</si>
  <si>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</si>
  <si>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</si>
  <si>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</si>
  <si>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</si>
  <si>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</si>
  <si>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</si>
  <si>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</si>
  <si>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</si>
  <si>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</si>
  <si>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</si>
  <si>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</si>
  <si>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</si>
  <si>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</si>
  <si>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</si>
  <si>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</si>
  <si>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</si>
  <si>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</si>
  <si>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</si>
  <si>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</si>
  <si>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</si>
  <si>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</si>
  <si>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</si>
  <si>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</si>
  <si>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</si>
  <si>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</si>
  <si>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</si>
  <si>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</si>
  <si>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</si>
  <si>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</si>
  <si>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</si>
  <si>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</si>
  <si>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</si>
  <si>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</si>
  <si>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</si>
  <si>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</si>
  <si>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</si>
  <si>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</si>
  <si>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</si>
  <si>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</si>
  <si>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</si>
  <si>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</si>
  <si>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</si>
  <si>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</si>
  <si>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</si>
  <si>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</si>
  <si>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</si>
  <si>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</si>
  <si>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</si>
  <si>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</si>
  <si>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</si>
  <si>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</si>
  <si>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</si>
  <si>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</si>
  <si>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</si>
  <si>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</si>
  <si>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</si>
  <si>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</si>
  <si>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</si>
  <si>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</si>
  <si>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</si>
  <si>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</si>
  <si>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</si>
  <si>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</si>
  <si>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</si>
  <si>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</si>
  <si>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</si>
  <si>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</si>
  <si>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</si>
  <si>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</si>
  <si>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</si>
  <si>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</si>
  <si>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</si>
  <si>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</si>
  <si>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</si>
  <si>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</si>
  <si>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</si>
  <si>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</si>
  <si>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</si>
  <si>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</si>
  <si>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</si>
  <si>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</si>
  <si>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</si>
  <si>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</si>
  <si>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</si>
  <si>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</si>
  <si>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</si>
  <si>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</si>
  <si>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</si>
  <si>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</si>
  <si>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</si>
  <si>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</si>
  <si>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</si>
  <si>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</si>
  <si>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</si>
  <si>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</si>
  <si>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</si>
  <si>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</si>
  <si>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</si>
  <si>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</si>
  <si>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Margins as % of Net Sales</t>
  </si>
  <si>
    <t>Cost of goods sold (COGS)</t>
  </si>
  <si>
    <t>Research and Development</t>
  </si>
  <si>
    <t>Net Profit</t>
  </si>
  <si>
    <t>2021 to 2022</t>
  </si>
  <si>
    <t>2020 to 2021</t>
  </si>
  <si>
    <t>Gross Profit</t>
  </si>
  <si>
    <t>Term debt (Current Liability)</t>
  </si>
  <si>
    <t>Term debt (Non current Liability)</t>
  </si>
  <si>
    <t>Additional Items</t>
  </si>
  <si>
    <t>Income Tax Rate</t>
  </si>
  <si>
    <t>CAPEX as % of sales</t>
  </si>
  <si>
    <t>CAPEX as %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</si>
</sst>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quotePrefix="1"/>
    <xf numFmtId="9" fontId="0" fillId="0" borderId="0" xfId="3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3" workbookViewId="0">
      <selection activeCell="A15" sqref="A15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2" workbookViewId="0">
      <selection activeCell="F4" sqref="F4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8" max="8" width="8.886718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142</v>
      </c>
      <c r="C32" s="25"/>
      <c r="D32" s="2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1"/>
  <sheetViews>
    <sheetView tabSelected="1" topLeftCell="E1" workbookViewId="0">
      <selection activeCell="J17" sqref="J17"/>
    </sheetView>
  </sheetViews>
  <sheetFormatPr defaultRowHeight="14.4" x14ac:dyDescent="0.3"/>
  <cols>
    <col min="1" max="1" width="4.6640625" customWidth="1"/>
    <col min="2" max="2" width="44.88671875" customWidth="1"/>
    <col min="7" max="7" width="28.88671875" customWidth="1"/>
    <col min="8" max="8" width="11.6640625" customWidth="1"/>
    <col min="9" max="9" width="11.88671875" customWidth="1"/>
    <col min="12" max="12" width="28.21875" customWidth="1"/>
    <col min="13" max="13" width="18.44140625" customWidth="1"/>
    <col min="17" max="17" width="22.88671875" customWidth="1"/>
  </cols>
  <sheetData>
    <row r="1" spans="1:2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20" x14ac:dyDescent="0.3">
      <c r="C2" s="25" t="s">
        <v>23</v>
      </c>
      <c r="D2" s="25"/>
      <c r="E2" s="25"/>
    </row>
    <row r="3" spans="1:2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20" x14ac:dyDescent="0.3">
      <c r="A4" s="18">
        <v>1</v>
      </c>
      <c r="B4" s="7" t="s">
        <v>99</v>
      </c>
      <c r="G4" s="7" t="s">
        <v>150</v>
      </c>
      <c r="H4" s="7" t="s">
        <v>155</v>
      </c>
      <c r="I4" s="7" t="s">
        <v>156</v>
      </c>
      <c r="L4" s="7" t="s">
        <v>151</v>
      </c>
      <c r="M4" s="7">
        <v>2022</v>
      </c>
      <c r="N4" s="7">
        <v>2021</v>
      </c>
      <c r="O4" s="7">
        <v>2020</v>
      </c>
      <c r="Q4" s="7" t="s">
        <v>160</v>
      </c>
      <c r="R4" s="7">
        <v>2022</v>
      </c>
      <c r="S4" s="7">
        <v>2021</v>
      </c>
      <c r="T4" s="7">
        <v>2020</v>
      </c>
    </row>
    <row r="5" spans="1:20" x14ac:dyDescent="0.3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  <c r="G5" t="s">
        <v>145</v>
      </c>
      <c r="H5">
        <f>('Financial Statements'!B8-'Financial Statements'!C8)/'Financial Statements'!C8</f>
        <v>7.7937876041846058E-2</v>
      </c>
      <c r="I5">
        <f>('Financial Statements'!C8-'Financial Statements'!D8)/'Financial Statements'!D8</f>
        <v>0.33259384733074693</v>
      </c>
      <c r="L5" t="s">
        <v>152</v>
      </c>
      <c r="M5" s="24">
        <f>'Financial Statements'!B12/'Financial Statements'!B8</f>
        <v>0.56690369438639909</v>
      </c>
      <c r="N5" s="24">
        <f>'Financial Statements'!C12/'Financial Statements'!C8</f>
        <v>0.58220640374832222</v>
      </c>
      <c r="O5" s="24">
        <f>'Financial Statements'!D12/'Financial Statements'!D8</f>
        <v>0.61766752272189129</v>
      </c>
      <c r="Q5" t="s">
        <v>161</v>
      </c>
      <c r="R5">
        <f>'Financial Statements'!B21/'Financial Statements'!B20</f>
        <v>0.16204461684424407</v>
      </c>
      <c r="S5">
        <f>'Financial Statements'!C21/'Financial Statements'!C20</f>
        <v>0.13302260844085087</v>
      </c>
      <c r="T5">
        <f>'Financial Statements'!D21/'Financial Statements'!D20</f>
        <v>0.14428164731484103</v>
      </c>
    </row>
    <row r="6" spans="1:20" x14ac:dyDescent="0.3">
      <c r="A6" s="18">
        <f t="shared" ref="A6:A13" si="0">+A5+0.1</f>
        <v>1.2000000000000002</v>
      </c>
      <c r="B6" s="1" t="s">
        <v>101</v>
      </c>
      <c r="C6">
        <f>('Financial Statements'!B36+'Financial Statements'!B37+'Financial Statements'!B38)/'Financial Statements'!B56</f>
        <v>0.49673338442155579</v>
      </c>
      <c r="D6">
        <f>('Financial Statements'!C36+'Financial Statements'!C37+'Financial Statements'!C38)/'Financial Statements'!C56</f>
        <v>0.70860927152317876</v>
      </c>
      <c r="E6">
        <f>('Financial Statements'!D36+'Financial Statements'!D37+'Financial Statements'!D38)/'Financial Statements'!D56</f>
        <v>1.0158550933657204</v>
      </c>
      <c r="G6" t="s">
        <v>4</v>
      </c>
      <c r="H6">
        <f>('Financial Statements'!B10-'Financial Statements'!C10)/'Financial Statements'!C10</f>
        <v>4.7876379599097081E-2</v>
      </c>
      <c r="I6">
        <f>('Financial Statements'!C10-'Financial Statements'!D10)/'Financial Statements'!D10</f>
        <v>0.27087767539626934</v>
      </c>
      <c r="L6" t="s">
        <v>89</v>
      </c>
      <c r="M6" s="24">
        <f>'Financial Statements'!B13/'Financial Statements'!B8</f>
        <v>0.43309630561360085</v>
      </c>
      <c r="N6" s="24">
        <f>'Financial Statements'!C13/'Financial Statements'!C8</f>
        <v>0.41779359625167778</v>
      </c>
      <c r="O6" s="24">
        <f>'Financial Statements'!D13/'Financial Statements'!D8</f>
        <v>0.38233247727810865</v>
      </c>
      <c r="Q6" t="s">
        <v>162</v>
      </c>
      <c r="R6" s="24">
        <f>-'Financial Statements'!B96/'Financial Statements'!B8</f>
        <v>2.7155058732831552E-2</v>
      </c>
      <c r="S6" s="24">
        <f>-'Financial Statements'!C96/'Financial Statements'!C8</f>
        <v>3.0302036264033657E-2</v>
      </c>
      <c r="T6" s="24">
        <f>-'Financial Statements'!D96/'Financial Statements'!D8</f>
        <v>2.6625138881299748E-2</v>
      </c>
    </row>
    <row r="7" spans="1:20" x14ac:dyDescent="0.3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  <c r="G7" t="s">
        <v>5</v>
      </c>
      <c r="H7">
        <f>('Financial Statements'!B11-'Financial Statements'!C11)/'Financial Statements'!C11</f>
        <v>6.5652908520395847E-2</v>
      </c>
      <c r="I7">
        <f>('Financial Statements'!C11-'Financial Statements'!D11)/'Financial Statements'!D11</f>
        <v>0.13363979642094895</v>
      </c>
      <c r="L7" t="s">
        <v>153</v>
      </c>
      <c r="M7" s="24">
        <f>'Financial Statements'!B15/'Financial Statements'!B8</f>
        <v>6.657148363798665E-2</v>
      </c>
      <c r="N7" s="24">
        <f>'Financial Statements'!C15/'Financial Statements'!C8</f>
        <v>5.9904269074427925E-2</v>
      </c>
      <c r="O7" s="24">
        <f>'Financial Statements'!D15/'Financial Statements'!D8</f>
        <v>6.8309564140393061E-2</v>
      </c>
      <c r="Q7" t="s">
        <v>163</v>
      </c>
      <c r="R7" s="24">
        <f>-'Financial Statements'!B96/'Financial Statements'!B45</f>
        <v>0.25424412944891611</v>
      </c>
      <c r="S7" s="24">
        <f>-'Financial Statements'!C96/'Financial Statements'!C45</f>
        <v>0.28105983772819471</v>
      </c>
      <c r="T7" s="24">
        <f>-'Financial Statements'!D96/'Financial Statements'!D45</f>
        <v>0.19879780231735844</v>
      </c>
    </row>
    <row r="8" spans="1:20" x14ac:dyDescent="0.3">
      <c r="A8" s="18">
        <f t="shared" si="0"/>
        <v>1.4000000000000004</v>
      </c>
      <c r="B8" s="1" t="s">
        <v>103</v>
      </c>
      <c r="C8">
        <f>('Financial Statements'!B36+'Financial Statements'!B37+'Financial Statements'!B38)/('Financial Statements'!B17/365)</f>
        <v>543.73590417762193</v>
      </c>
      <c r="D8">
        <f>('Financial Statements'!C36+'Financial Statements'!C37+'Financial Statements'!C38)/('Financial Statements'!C17/365)</f>
        <v>739.50611798482464</v>
      </c>
      <c r="E8">
        <f>('Financial Statements'!D36+'Financial Statements'!D37+'Financial Statements'!D38)/('Financial Statements'!D17/365)</f>
        <v>1010.6029533464364</v>
      </c>
      <c r="G8" t="s">
        <v>157</v>
      </c>
      <c r="H8">
        <f>('Financial Statements'!B13-'Financial Statements'!C13)/'Financial Statements'!C13</f>
        <v>0.11741997958596143</v>
      </c>
      <c r="I8">
        <f>('Financial Statements'!C13-'Financial Statements'!D13)/'Financial Statements'!D13</f>
        <v>0.45619116582186819</v>
      </c>
      <c r="L8" t="s">
        <v>12</v>
      </c>
      <c r="M8" s="24">
        <f>'Financial Statements'!B16/'Financial Statements'!B8</f>
        <v>6.3637378020328261E-2</v>
      </c>
      <c r="N8" s="24">
        <f>'Financial Statements'!C16/'Financial Statements'!C8</f>
        <v>6.006555190163388E-2</v>
      </c>
      <c r="O8" s="24">
        <f>'Financial Statements'!D16/'Financial Statements'!D8</f>
        <v>7.2549769593646979E-2</v>
      </c>
    </row>
    <row r="9" spans="1:20" x14ac:dyDescent="0.3">
      <c r="A9" s="18">
        <f t="shared" si="0"/>
        <v>1.5000000000000004</v>
      </c>
      <c r="B9" s="1" t="s">
        <v>104</v>
      </c>
      <c r="C9">
        <f>365*'Financial Statements'!B39/'Financial Statements'!B12</f>
        <v>8.0756980666171607</v>
      </c>
      <c r="D9">
        <f>365*'Financial Statements'!C39/'Financial Statements'!C12</f>
        <v>11.27659274770989</v>
      </c>
      <c r="E9">
        <f>365*'Financial Statements'!D39/'Financial Statements'!D12</f>
        <v>8.7418833562358831</v>
      </c>
      <c r="G9" t="s">
        <v>153</v>
      </c>
      <c r="H9">
        <f>('Financial Statements'!B15-'Financial Statements'!C15)/'Financial Statements'!C15</f>
        <v>0.19791001186456147</v>
      </c>
      <c r="I9">
        <f>('Financial Statements'!C15-'Financial Statements'!D15)/'Financial Statements'!D15</f>
        <v>0.16862201365187712</v>
      </c>
      <c r="L9" t="s">
        <v>14</v>
      </c>
      <c r="M9" s="24">
        <f>'Financial Statements'!B18/'Financial Statements'!B8</f>
        <v>0.30288744395528594</v>
      </c>
      <c r="N9" s="24">
        <f>'Financial Statements'!C18/'Financial Statements'!C8</f>
        <v>0.29782377527561593</v>
      </c>
      <c r="O9" s="24">
        <f>'Financial Statements'!D18/'Financial Statements'!D8</f>
        <v>0.24147314354406862</v>
      </c>
    </row>
    <row r="10" spans="1:20" x14ac:dyDescent="0.3">
      <c r="A10" s="18">
        <f t="shared" si="0"/>
        <v>1.6000000000000005</v>
      </c>
      <c r="B10" s="1" t="s">
        <v>105</v>
      </c>
      <c r="C10">
        <f>365*'Financial Statements'!B51/'Financial Statements'!B12</f>
        <v>104.68527730310539</v>
      </c>
      <c r="D10">
        <f>365*'Financial Statements'!C51/'Financial Statements'!C12</f>
        <v>93.85107122231561</v>
      </c>
      <c r="E10">
        <f>365*'Financial Statements'!D51/'Financial Statements'!D12</f>
        <v>91.048189715674184</v>
      </c>
      <c r="G10" t="s">
        <v>12</v>
      </c>
      <c r="H10">
        <f>('Financial Statements'!B16-'Financial Statements'!C16)/'Financial Statements'!C16</f>
        <v>0.14203795567287125</v>
      </c>
      <c r="I10">
        <f>('Financial Statements'!C16-'Financial Statements'!D16)/'Financial Statements'!D16</f>
        <v>0.10328379192608958</v>
      </c>
      <c r="L10" t="s">
        <v>154</v>
      </c>
      <c r="M10" s="24">
        <f>'Financial Statements'!B22/'Financial Statements'!B8</f>
        <v>0.25309640705199732</v>
      </c>
      <c r="N10" s="24">
        <f>'Financial Statements'!C22/'Financial Statements'!C8</f>
        <v>0.25881793355694238</v>
      </c>
      <c r="O10" s="24">
        <f>'Financial Statements'!D22/'Financial Statements'!D8</f>
        <v>0.20913611278072236</v>
      </c>
    </row>
    <row r="11" spans="1:20" x14ac:dyDescent="0.3">
      <c r="A11" s="18">
        <f t="shared" si="0"/>
        <v>1.7000000000000006</v>
      </c>
      <c r="B11" s="1" t="s">
        <v>106</v>
      </c>
      <c r="C11">
        <f>365*'Financial Statements'!B38/'Financial Statements'!B8</f>
        <v>26.087825363656652</v>
      </c>
      <c r="D11">
        <f>365*'Financial Statements'!C38/'Financial Statements'!C8</f>
        <v>26.219311841713207</v>
      </c>
      <c r="E11">
        <f>365*'Financial Statements'!D38/'Financial Statements'!D8</f>
        <v>21.433437152796749</v>
      </c>
      <c r="G11" t="s">
        <v>26</v>
      </c>
      <c r="H11">
        <f>('Financial Statements'!B36-'Financial Statements'!C36)/'Financial Statements'!C36</f>
        <v>-0.32323983972524328</v>
      </c>
      <c r="I11">
        <f>('Financial Statements'!C36-'Financial Statements'!D36)/'Financial Statements'!D36</f>
        <v>-8.0913299663299659E-2</v>
      </c>
    </row>
    <row r="12" spans="1:20" x14ac:dyDescent="0.3">
      <c r="A12" s="18">
        <f t="shared" si="0"/>
        <v>1.8000000000000007</v>
      </c>
      <c r="B12" s="1" t="s">
        <v>107</v>
      </c>
      <c r="C12">
        <f>C9+C10+C11</f>
        <v>138.84880073337922</v>
      </c>
      <c r="D12">
        <f t="shared" ref="D12:E12" si="1">D9+D10+D11</f>
        <v>131.3469758117387</v>
      </c>
      <c r="E12">
        <f t="shared" si="1"/>
        <v>121.22351022470681</v>
      </c>
      <c r="G12" t="s">
        <v>27</v>
      </c>
      <c r="H12">
        <f>('Financial Statements'!B37-'Financial Statements'!C37)/'Financial Statements'!C37</f>
        <v>-0.10978735694429402</v>
      </c>
      <c r="I12">
        <f>('Financial Statements'!C37-'Financial Statements'!D37)/'Financial Statements'!D37</f>
        <v>-0.47665652691442933</v>
      </c>
    </row>
    <row r="13" spans="1:20" x14ac:dyDescent="0.3">
      <c r="A13" s="18">
        <f t="shared" si="0"/>
        <v>1.9000000000000008</v>
      </c>
      <c r="B13" s="1" t="s">
        <v>108</v>
      </c>
      <c r="C13" s="24">
        <f>C14/'Financial Statements'!B8</f>
        <v>-4.711052727678481E-2</v>
      </c>
      <c r="D13" s="24">
        <f>D14/'Financial Statements'!C8</f>
        <v>2.557289573748623E-2</v>
      </c>
      <c r="E13" s="24">
        <f>E14/'Financial Statements'!D8</f>
        <v>0.13959528623208203</v>
      </c>
      <c r="G13" t="s">
        <v>28</v>
      </c>
      <c r="H13">
        <f>('Financial Statements'!B38-'Financial Statements'!C38)/'Financial Statements'!C38</f>
        <v>7.2532156176269125E-2</v>
      </c>
      <c r="I13">
        <f>('Financial Statements'!C38-'Financial Statements'!D38)/'Financial Statements'!D38</f>
        <v>0.63014888337468977</v>
      </c>
    </row>
    <row r="14" spans="1:2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G14" t="s">
        <v>29</v>
      </c>
      <c r="H14">
        <f>('Financial Statements'!B39-'Financial Statements'!C39)/'Financial Statements'!C39</f>
        <v>-0.24832826747720366</v>
      </c>
      <c r="I14">
        <f>('Financial Statements'!C39-'Financial Statements'!D39)/'Financial Statements'!D39</f>
        <v>0.62029056882541245</v>
      </c>
    </row>
    <row r="15" spans="1:20" x14ac:dyDescent="0.3">
      <c r="A15" s="18"/>
      <c r="G15" t="s">
        <v>47</v>
      </c>
      <c r="H15">
        <f>('Financial Statements'!B40-'Financial Statements'!C40)/'Financial Statements'!C40</f>
        <v>0.29808149674964324</v>
      </c>
      <c r="I15">
        <f>('Financial Statements'!C40-'Financial Statements'!D40)/'Financial Statements'!D40</f>
        <v>0.18302461899179367</v>
      </c>
    </row>
    <row r="16" spans="1:20" x14ac:dyDescent="0.3">
      <c r="A16" s="18">
        <f>+A4+1</f>
        <v>2</v>
      </c>
      <c r="B16" s="17" t="s">
        <v>110</v>
      </c>
      <c r="G16" t="s">
        <v>30</v>
      </c>
      <c r="H16">
        <f>('Financial Statements'!B41-'Financial Statements'!C41)/'Financial Statements'!C41</f>
        <v>0.50400396853518536</v>
      </c>
      <c r="I16">
        <f>('Financial Statements'!C41-'Financial Statements'!D41)/'Financial Statements'!D41</f>
        <v>0.25275213068181818</v>
      </c>
    </row>
    <row r="17" spans="1:9" x14ac:dyDescent="0.3">
      <c r="A17" s="18">
        <f>+A16+0.1</f>
        <v>2.1</v>
      </c>
      <c r="B17" s="1" t="s">
        <v>9</v>
      </c>
      <c r="C17">
        <f>'Financial Statements'!B13/'Financial Statements'!B8</f>
        <v>0.43309630561360085</v>
      </c>
      <c r="D17">
        <f>'Financial Statements'!C13/'Financial Statements'!C8</f>
        <v>0.41779359625167778</v>
      </c>
      <c r="E17">
        <f>'Financial Statements'!D13/'Financial Statements'!D8</f>
        <v>0.38233247727810865</v>
      </c>
      <c r="G17" t="s">
        <v>27</v>
      </c>
      <c r="H17">
        <f>('Financial Statements'!B44-'Financial Statements'!C44)/'Financial Statements'!C44</f>
        <v>-5.5303142863845724E-2</v>
      </c>
      <c r="I17">
        <f>('Financial Statements'!C44-'Financial Statements'!D44)/'Financial Statements'!D44</f>
        <v>0.26752703519779553</v>
      </c>
    </row>
    <row r="18" spans="1:9" x14ac:dyDescent="0.3">
      <c r="A18" s="18">
        <f>+A17+0.1</f>
        <v>2.2000000000000002</v>
      </c>
      <c r="B18" s="1" t="s">
        <v>111</v>
      </c>
      <c r="C18">
        <f>('Financial Statements'!B18-'Financial Statements'!B79)/'Financial Statements'!B8</f>
        <v>0.27472814509748228</v>
      </c>
      <c r="D18">
        <f>('Financial Statements'!C18-'Financial Statements'!C79)/'Financial Statements'!C8</f>
        <v>0.2669777511706673</v>
      </c>
      <c r="E18">
        <f>('Financial Statements'!D18-'Financial Statements'!D79)/'Financial Statements'!D8</f>
        <v>0.20119847731453655</v>
      </c>
      <c r="G18" t="s">
        <v>32</v>
      </c>
      <c r="H18">
        <f>('Financial Statements'!B45-'Financial Statements'!C45)/'Financial Statements'!C45</f>
        <v>6.7875253549695744E-2</v>
      </c>
      <c r="I18">
        <f>('Financial Statements'!C45-'Financial Statements'!D45)/'Financial Statements'!D45</f>
        <v>7.2730239895555673E-2</v>
      </c>
    </row>
    <row r="19" spans="1:9" x14ac:dyDescent="0.3">
      <c r="A19" s="18"/>
      <c r="B19" s="3" t="s">
        <v>112</v>
      </c>
      <c r="C19">
        <f>'Financial Statements'!B18-'Financial Statements'!B79</f>
        <v>108333</v>
      </c>
      <c r="D19">
        <f>'Financial Statements'!C18-'Financial Statements'!C79</f>
        <v>97665</v>
      </c>
      <c r="E19">
        <f>'Financial Statements'!D18-'Financial Statements'!D79</f>
        <v>55232</v>
      </c>
      <c r="G19" t="s">
        <v>49</v>
      </c>
      <c r="H19">
        <f>('Financial Statements'!B46-'Financial Statements'!C46)/'Financial Statements'!C46</f>
        <v>0.11420909332842023</v>
      </c>
      <c r="I19">
        <f>('Financial Statements'!C46-'Financial Statements'!D46)/'Financial Statements'!D46</f>
        <v>0.1487935656836461</v>
      </c>
    </row>
    <row r="20" spans="1:9" x14ac:dyDescent="0.3">
      <c r="A20" s="18">
        <f>+A18+0.1</f>
        <v>2.3000000000000003</v>
      </c>
      <c r="B20" s="1" t="s">
        <v>113</v>
      </c>
      <c r="C20">
        <f>'Financial Statements'!B18/'Financial Statements'!B8</f>
        <v>0.30288744395528594</v>
      </c>
      <c r="D20">
        <f>'Financial Statements'!C18/'Financial Statements'!C8</f>
        <v>0.29782377527561593</v>
      </c>
      <c r="E20">
        <f>'Financial Statements'!D18/'Financial Statements'!D8</f>
        <v>0.24147314354406862</v>
      </c>
      <c r="G20" t="s">
        <v>35</v>
      </c>
      <c r="H20">
        <f>('Financial Statements'!B51-'Financial Statements'!C51)/'Financial Statements'!C52</f>
        <v>0.19691322931800476</v>
      </c>
      <c r="I20">
        <f>('Financial Statements'!C51-'Financial Statements'!D51)/'Financial Statements'!D52</f>
        <v>0.29207665635835439</v>
      </c>
    </row>
    <row r="21" spans="1:9" x14ac:dyDescent="0.3">
      <c r="A21" s="18"/>
      <c r="B21" s="3" t="s">
        <v>114</v>
      </c>
      <c r="C21" s="23">
        <f>'Financial Statements'!B18</f>
        <v>119437</v>
      </c>
      <c r="D21" s="23">
        <f>'Financial Statements'!C18</f>
        <v>108949</v>
      </c>
      <c r="E21" s="23">
        <f>'Financial Statements'!D18</f>
        <v>66288</v>
      </c>
      <c r="G21" t="s">
        <v>36</v>
      </c>
      <c r="H21">
        <f>('Financial Statements'!B52-'Financial Statements'!C52)/'Financial Statements'!C53</f>
        <v>1.7540725170782974</v>
      </c>
      <c r="I21">
        <f>('Financial Statements'!C52-'Financial Statements'!D52)/'Financial Statements'!D53</f>
        <v>0.72391991570073766</v>
      </c>
    </row>
    <row r="22" spans="1:9" x14ac:dyDescent="0.3">
      <c r="A22" s="18">
        <f>+A20+0.1</f>
        <v>2.4000000000000004</v>
      </c>
      <c r="B22" s="1" t="s">
        <v>115</v>
      </c>
      <c r="C22">
        <f>'Financial Statements'!B22/'Financial Statements'!B13</f>
        <v>0.58438828447962898</v>
      </c>
      <c r="D22">
        <f>'Financial Statements'!C22/'Financial Statements'!C13</f>
        <v>0.61948755528802113</v>
      </c>
      <c r="E22">
        <f>'Financial Statements'!D22/'Financial Statements'!D13</f>
        <v>0.54700064789054459</v>
      </c>
      <c r="G22" t="s">
        <v>37</v>
      </c>
      <c r="H22">
        <f>('Financial Statements'!B53-'Financial Statements'!C53)/'Financial Statements'!C54</f>
        <v>0.05</v>
      </c>
      <c r="I22">
        <f>('Financial Statements'!C53-'Financial Statements'!D53)/'Financial Statements'!D54</f>
        <v>0.19395516413130504</v>
      </c>
    </row>
    <row r="23" spans="1:9" x14ac:dyDescent="0.3">
      <c r="A23" s="18"/>
      <c r="G23" t="s">
        <v>38</v>
      </c>
      <c r="H23">
        <f>('Financial Statements'!B54-'Financial Statements'!C54)/'Financial Statements'!C55</f>
        <v>0.41423072922084675</v>
      </c>
      <c r="I23">
        <f>('Financial Statements'!C54-'Financial Statements'!D54)/'Financial Statements'!D55</f>
        <v>0.11444203807135529</v>
      </c>
    </row>
    <row r="24" spans="1:9" x14ac:dyDescent="0.3">
      <c r="A24" s="18">
        <f>+A16+1</f>
        <v>3</v>
      </c>
      <c r="B24" s="7" t="s">
        <v>116</v>
      </c>
      <c r="G24" t="s">
        <v>158</v>
      </c>
      <c r="H24">
        <f>('Financial Statements'!B55-'Financial Statements'!C55)/'Financial Statements'!C56</f>
        <v>1.2073541014177446E-2</v>
      </c>
      <c r="I24">
        <f>('Financial Statements'!C55-'Financial Statements'!D55)/'Financial Statements'!D56</f>
        <v>7.970244420828906E-3</v>
      </c>
    </row>
    <row r="25" spans="1:9" x14ac:dyDescent="0.3">
      <c r="A25" s="18">
        <f>+A24+0.1</f>
        <v>3.1</v>
      </c>
      <c r="B25" s="1" t="s">
        <v>117</v>
      </c>
      <c r="C25">
        <f>('Financial Statements'!B59+'Financial Statements'!B55)/'Financial Statements'!B68</f>
        <v>2.1725410483107042</v>
      </c>
      <c r="D25">
        <f>('Financial Statements'!C59+'Financial Statements'!C55)/'Financial Statements'!C68</f>
        <v>1.8817403708987162</v>
      </c>
      <c r="E25">
        <f>('Financial Statements'!D59+'Financial Statements'!D55)/'Financial Statements'!D68</f>
        <v>1.6443471739696047</v>
      </c>
      <c r="G25" t="s">
        <v>159</v>
      </c>
      <c r="H25">
        <f>('Financial Statements'!B59-'Financial Statements'!C59)/'Financial Statements'!C59</f>
        <v>-9.3001301486627677E-2</v>
      </c>
      <c r="I25">
        <f>('Financial Statements'!C59-'Financial Statements'!D59)/'Financial Statements'!D59</f>
        <v>0.1058003182421681</v>
      </c>
    </row>
    <row r="26" spans="1:9" x14ac:dyDescent="0.3">
      <c r="A26" s="18">
        <f t="shared" ref="A26:A30" si="2">+A25+0.1</f>
        <v>3.2</v>
      </c>
      <c r="B26" s="1" t="s">
        <v>118</v>
      </c>
      <c r="C26">
        <f>('Financial Statements'!B59+'Financial Statements'!B55)/'Financial Statements'!B48</f>
        <v>0.31207778769967826</v>
      </c>
      <c r="D26">
        <f>('Financial Statements'!C59+'Financial Statements'!C55)/'Financial Statements'!C48</f>
        <v>0.33822884200090025</v>
      </c>
      <c r="E26">
        <f>('Financial Statements'!D59+'Financial Statements'!D55)/'Financial Statements'!D48</f>
        <v>0.33171960677765155</v>
      </c>
      <c r="G26" t="s">
        <v>52</v>
      </c>
      <c r="H26">
        <f>('Financial Statements'!B60-'Financial Statements'!C60)/'Financial Statements'!C60</f>
        <v>-7.8443506797937171E-2</v>
      </c>
      <c r="I26">
        <f>('Financial Statements'!C60-'Financial Statements'!D60)/'Financial Statements'!D60</f>
        <v>-2.1380069737566527E-2</v>
      </c>
    </row>
    <row r="27" spans="1:9" x14ac:dyDescent="0.3">
      <c r="A27" s="18">
        <f t="shared" si="2"/>
        <v>3.3000000000000003</v>
      </c>
      <c r="B27" s="1" t="s">
        <v>119</v>
      </c>
      <c r="C27">
        <f>('Financial Statements'!B59+'Financial Statements'!B55)/('Financial Statements'!B59+'Financial Statements'!B55+'Financial Statements'!B68)</f>
        <v>0.68479525252085416</v>
      </c>
      <c r="D27">
        <f>('Financial Statements'!C59+'Financial Statements'!C55)/('Financial Statements'!C59+'Financial Statements'!C55+'Financial Statements'!C68)</f>
        <v>0.65298747586753136</v>
      </c>
      <c r="E27">
        <f>('Financial Statements'!D59+'Financial Statements'!D55)/('Financial Statements'!D59+'Financial Statements'!D55+'Financial Statements'!D68)</f>
        <v>0.62183482946422886</v>
      </c>
    </row>
    <row r="28" spans="1:9" x14ac:dyDescent="0.3">
      <c r="A28" s="18">
        <f t="shared" si="2"/>
        <v>3.4000000000000004</v>
      </c>
      <c r="B28" s="1" t="s">
        <v>120</v>
      </c>
      <c r="C28">
        <f>'Financial Statements'!B18/'Financial Statements'!B114</f>
        <v>41.68830715532286</v>
      </c>
      <c r="D28">
        <f>'Financial Statements'!C18/'Financial Statements'!C114</f>
        <v>40.546706363974693</v>
      </c>
      <c r="E28">
        <f>'Financial Statements'!D18/'Financial Statements'!D114</f>
        <v>22.081279147235175</v>
      </c>
    </row>
    <row r="29" spans="1:9" x14ac:dyDescent="0.3">
      <c r="A29" s="18">
        <f t="shared" si="2"/>
        <v>3.5000000000000004</v>
      </c>
      <c r="B29" s="1" t="s">
        <v>121</v>
      </c>
      <c r="C29">
        <f>'Financial Statements'!B18/('Financial Statements'!B55+'Financial Statements'!B59)</f>
        <v>1.0849328258559139</v>
      </c>
      <c r="D29">
        <f>'Financial Statements'!C18/('Financial Statements'!C55+'Financial Statements'!C59)</f>
        <v>0.91770483241941059</v>
      </c>
      <c r="E29">
        <f>'Financial Statements'!D18/('Financial Statements'!D55+'Financial Statements'!D59)</f>
        <v>0.61697691734921822</v>
      </c>
    </row>
    <row r="30" spans="1:9" x14ac:dyDescent="0.3">
      <c r="A30" s="18">
        <f t="shared" si="2"/>
        <v>3.6000000000000005</v>
      </c>
      <c r="B30" s="1" t="s">
        <v>122</v>
      </c>
      <c r="C30">
        <f>('Financial Statements'!B91-'Financial Statements'!B96)/'Financial Statements'!B27</f>
        <v>8.1930996019169509E-3</v>
      </c>
      <c r="D30">
        <f>('Financial Statements'!C91-'Financial Statements'!C96)/'Financial Statements'!C27</f>
        <v>6.8930677854956201E-3</v>
      </c>
      <c r="E30">
        <f>('Financial Statements'!D91-'Financial Statements'!D96)/'Financial Statements'!D27</f>
        <v>5.0704470157218262E-3</v>
      </c>
    </row>
    <row r="31" spans="1:9" x14ac:dyDescent="0.3">
      <c r="A31" s="18"/>
      <c r="B31" s="3" t="s">
        <v>123</v>
      </c>
      <c r="C31">
        <f>'Financial Statements'!B91-'Financial Statements'!B96</f>
        <v>132859</v>
      </c>
      <c r="D31">
        <f>'Financial Statements'!C91-'Financial Statements'!C96</f>
        <v>115123</v>
      </c>
      <c r="E31">
        <f>'Financial Statements'!D91-'Financial Statements'!D96</f>
        <v>87983</v>
      </c>
    </row>
    <row r="32" spans="1:9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3">
      <c r="A35" s="18">
        <f t="shared" ref="A35:A37" si="3">+A34+0.1</f>
        <v>4.1999999999999993</v>
      </c>
      <c r="B35" s="1" t="s">
        <v>126</v>
      </c>
      <c r="C35">
        <f>('Financial Statements'!B8-'Financial Statements'!B12)/'Financial Statements'!B45</f>
        <v>4.0549421848659684</v>
      </c>
      <c r="D35">
        <f>('Financial Statements'!C8-'Financial Statements'!C12)/'Financial Statements'!C45</f>
        <v>3.8751521298174443</v>
      </c>
      <c r="E35">
        <f>('Financial Statements'!D8-'Financial Statements'!D12)/'Financial Statements'!D45</f>
        <v>2.8547027144644508</v>
      </c>
    </row>
    <row r="36" spans="1:5" x14ac:dyDescent="0.3">
      <c r="A36" s="18">
        <f t="shared" si="3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3">
      <c r="A37" s="18">
        <f t="shared" si="3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f>'Financial Statements'!B68/'List of Ratios'!C41</f>
        <v>8239.3495934959337</v>
      </c>
      <c r="D40">
        <f>'Financial Statements'!C68/'List of Ratios'!D41</f>
        <v>11126.984126984127</v>
      </c>
      <c r="E40">
        <f>'Financial Statements'!D68/'List of Ratios'!E41</f>
        <v>19739.87915407855</v>
      </c>
    </row>
    <row r="41" spans="1:5" x14ac:dyDescent="0.3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3">
      <c r="A42" s="18">
        <f t="shared" si="4"/>
        <v>5.2999999999999989</v>
      </c>
      <c r="B42" s="1" t="s">
        <v>132</v>
      </c>
      <c r="C42">
        <f>'Financial Statements'!B68/('Financial Statements'!B48-'Financial Statements'!B62)</f>
        <v>1</v>
      </c>
      <c r="D42">
        <f>'Financial Statements'!C68/('Financial Statements'!C48-'Financial Statements'!C62)</f>
        <v>1</v>
      </c>
      <c r="E42">
        <f>'Financial Statements'!D68/('Financial Statements'!D48-'Financial Statements'!D62)</f>
        <v>1</v>
      </c>
    </row>
    <row r="43" spans="1:5" x14ac:dyDescent="0.3">
      <c r="A43" s="18">
        <f t="shared" si="4"/>
        <v>5.3999999999999986</v>
      </c>
      <c r="B43" s="3" t="s">
        <v>133</v>
      </c>
      <c r="C43">
        <f>'Financial Statements'!B68/'Financial Statements'!B27</f>
        <v>3.124822127430853E-3</v>
      </c>
      <c r="D43">
        <f>'Financial Statements'!C68/'Financial Statements'!C27</f>
        <v>3.7775565837141027E-3</v>
      </c>
      <c r="E43">
        <f>'Financial Statements'!D68/'Financial Statements'!D27</f>
        <v>3.7654767120949319E-3</v>
      </c>
    </row>
    <row r="44" spans="1:5" x14ac:dyDescent="0.3">
      <c r="A44" s="18">
        <f t="shared" si="4"/>
        <v>5.4999999999999982</v>
      </c>
      <c r="B44" s="1" t="s">
        <v>134</v>
      </c>
      <c r="C44">
        <f>'Financial Statements'!B102/'Financial Statements'!B22</f>
        <v>-0.14870294480125848</v>
      </c>
      <c r="D44">
        <f>'Financial Statements'!C102/'Financial Statements'!C22</f>
        <v>-0.15279890156316012</v>
      </c>
      <c r="E44">
        <f>'Financial Statements'!D102/'Financial Statements'!D22</f>
        <v>-0.24526658654264863</v>
      </c>
    </row>
    <row r="45" spans="1:5" x14ac:dyDescent="0.3">
      <c r="A45" s="18"/>
      <c r="B45" s="3" t="s">
        <v>135</v>
      </c>
      <c r="C45">
        <f>'Financial Statements'!B102/'Financial Statements'!B27</f>
        <v>-9.1520929099307886E-4</v>
      </c>
      <c r="D45">
        <f>'Financial Statements'!C102/'Financial Statements'!C27</f>
        <v>-8.6622144708498852E-4</v>
      </c>
      <c r="E45">
        <f>'Financial Statements'!D102/'Financial Statements'!D27</f>
        <v>-8.1148590555424381E-4</v>
      </c>
    </row>
    <row r="46" spans="1:5" x14ac:dyDescent="0.3">
      <c r="A46" s="18">
        <f>+A44+0.1</f>
        <v>5.5999999999999979</v>
      </c>
      <c r="B46" s="1" t="s">
        <v>136</v>
      </c>
      <c r="C46">
        <f>C45/'Financial Statements'!B24</f>
        <v>-1.4881451886066322E-4</v>
      </c>
      <c r="D46">
        <f>D45/'Financial Statements'!C24</f>
        <v>-1.5277274199029781E-4</v>
      </c>
      <c r="E46">
        <f>E45/'Financial Statements'!D24</f>
        <v>-2.4516190500128212E-4</v>
      </c>
    </row>
    <row r="47" spans="1:5" x14ac:dyDescent="0.3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3">
      <c r="A48" s="18">
        <f t="shared" si="5"/>
        <v>5.6999999999999975</v>
      </c>
      <c r="B48" s="1" t="s">
        <v>138</v>
      </c>
      <c r="C48">
        <f>C21/('Financial Statements'!B48-'Financial Statements'!B56)</f>
        <v>0.60087134570590572</v>
      </c>
      <c r="D48">
        <f>D21/('Financial Statements'!C48-'Financial Statements'!C56)</f>
        <v>0.48309913489209433</v>
      </c>
      <c r="E48">
        <f>E21/('Financial Statements'!D48-'Financial Statements'!D56)</f>
        <v>0.30338312829525482</v>
      </c>
    </row>
    <row r="49" spans="1:5" x14ac:dyDescent="0.3">
      <c r="A49" s="18">
        <f t="shared" si="5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5" x14ac:dyDescent="0.3">
      <c r="A50" s="18">
        <f t="shared" si="5"/>
        <v>5.7999999999999972</v>
      </c>
      <c r="B50" s="1" t="s">
        <v>139</v>
      </c>
      <c r="C50">
        <f>C51/C19</f>
        <v>1.265662355884172</v>
      </c>
      <c r="D50">
        <f t="shared" ref="D50:E50" si="6">D51/D19</f>
        <v>1.5038038191778016</v>
      </c>
      <c r="E50">
        <f t="shared" si="6"/>
        <v>2.4399442352259562</v>
      </c>
    </row>
    <row r="51" spans="1:5" x14ac:dyDescent="0.3">
      <c r="A51" s="18"/>
      <c r="B51" s="3" t="s">
        <v>140</v>
      </c>
      <c r="C51">
        <f>'Financial Statements'!B68+'Financial Statements'!B59+'Financial Statements'!B55-'Financial Statements'!B36</f>
        <v>137113</v>
      </c>
      <c r="D51">
        <f>'Financial Statements'!C68+'Financial Statements'!C59+'Financial Statements'!C55-'Financial Statements'!C36</f>
        <v>146869</v>
      </c>
      <c r="E51">
        <f>'Financial Statements'!D68+'Financial Statements'!D59+'Financial Statements'!D55-'Financial Statements'!D36</f>
        <v>134763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2020-05-18T16:32:37Z</dcterms:created>
  <dcterms:modified xsi:type="dcterms:W3CDTF">2024-01-12T16:44:56Z</dcterms:modified>
</cp:coreProperties>
</file>