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\Year 3\Quill Investment Launchpad\Edit\"/>
    </mc:Choice>
  </mc:AlternateContent>
  <xr:revisionPtr revIDLastSave="0" documentId="13_ncr:1_{4612498C-9718-4DAC-8117-85E530464CC3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3" l="1"/>
  <c r="J23" i="3"/>
  <c r="I24" i="3"/>
  <c r="J24" i="3"/>
  <c r="J22" i="3"/>
  <c r="I22" i="3"/>
  <c r="J21" i="3"/>
  <c r="I21" i="3"/>
  <c r="J20" i="3"/>
  <c r="I20" i="3"/>
  <c r="I19" i="3"/>
  <c r="J19" i="3"/>
  <c r="J18" i="3"/>
  <c r="I18" i="3"/>
  <c r="I17" i="3"/>
  <c r="J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 l="1"/>
  <c r="I9" i="3"/>
  <c r="J8" i="3"/>
  <c r="I8" i="3"/>
  <c r="J7" i="3"/>
  <c r="I7" i="3"/>
  <c r="J6" i="3"/>
  <c r="I6" i="3"/>
  <c r="C49" i="3"/>
  <c r="D29" i="3"/>
  <c r="E29" i="3"/>
  <c r="C29" i="3"/>
  <c r="E51" i="3"/>
  <c r="D51" i="3"/>
  <c r="C51" i="3"/>
  <c r="D48" i="3" l="1"/>
  <c r="E48" i="3"/>
  <c r="C48" i="3"/>
  <c r="D8" i="3"/>
  <c r="E8" i="3"/>
  <c r="C8" i="3"/>
  <c r="E46" i="3"/>
  <c r="D46" i="3"/>
  <c r="C46" i="3"/>
  <c r="E40" i="3"/>
  <c r="D40" i="3"/>
  <c r="C40" i="3"/>
  <c r="E42" i="3"/>
  <c r="D42" i="3"/>
  <c r="C42" i="3"/>
  <c r="D45" i="3"/>
  <c r="E45" i="3"/>
  <c r="C45" i="3"/>
  <c r="D44" i="3"/>
  <c r="E44" i="3"/>
  <c r="C44" i="3"/>
  <c r="D30" i="3"/>
  <c r="E30" i="3"/>
  <c r="C30" i="3"/>
  <c r="E31" i="3"/>
  <c r="D31" i="3"/>
  <c r="C31" i="3"/>
  <c r="D35" i="3"/>
  <c r="E35" i="3"/>
  <c r="C35" i="3"/>
  <c r="D43" i="3"/>
  <c r="E43" i="3"/>
  <c r="C43" i="3"/>
  <c r="D19" i="3"/>
  <c r="E19" i="3"/>
  <c r="E50" i="3" s="1"/>
  <c r="C19" i="3"/>
  <c r="C50" i="3" s="1"/>
  <c r="D12" i="3"/>
  <c r="E12" i="3"/>
  <c r="C12" i="3"/>
  <c r="D41" i="3"/>
  <c r="E41" i="3"/>
  <c r="C41" i="3"/>
  <c r="T5" i="3"/>
  <c r="U5" i="3"/>
  <c r="T6" i="3"/>
  <c r="U6" i="3"/>
  <c r="T7" i="3"/>
  <c r="U7" i="3"/>
  <c r="S7" i="3"/>
  <c r="S6" i="3"/>
  <c r="S5" i="3"/>
  <c r="O5" i="3"/>
  <c r="P5" i="3"/>
  <c r="O6" i="3"/>
  <c r="P6" i="3"/>
  <c r="O7" i="3"/>
  <c r="P7" i="3"/>
  <c r="O8" i="3"/>
  <c r="P8" i="3"/>
  <c r="O9" i="3"/>
  <c r="P9" i="3"/>
  <c r="O10" i="3"/>
  <c r="P10" i="3"/>
  <c r="N10" i="3"/>
  <c r="N9" i="3"/>
  <c r="N8" i="3"/>
  <c r="N7" i="3"/>
  <c r="N6" i="3"/>
  <c r="N5" i="3"/>
  <c r="J5" i="3"/>
  <c r="I5" i="3"/>
  <c r="E13" i="3"/>
  <c r="C13" i="3"/>
  <c r="D14" i="3"/>
  <c r="D13" i="3" s="1"/>
  <c r="E14" i="3"/>
  <c r="C14" i="3"/>
  <c r="D11" i="3"/>
  <c r="E11" i="3"/>
  <c r="C11" i="3"/>
  <c r="D10" i="3"/>
  <c r="E10" i="3"/>
  <c r="C10" i="3"/>
  <c r="D47" i="3"/>
  <c r="E47" i="3"/>
  <c r="C47" i="3"/>
  <c r="D49" i="3"/>
  <c r="E49" i="3"/>
  <c r="D21" i="3"/>
  <c r="E21" i="3"/>
  <c r="C21" i="3"/>
  <c r="D22" i="3"/>
  <c r="E22" i="3"/>
  <c r="C22" i="3"/>
  <c r="D28" i="3"/>
  <c r="E28" i="3"/>
  <c r="C28" i="3"/>
  <c r="D27" i="3"/>
  <c r="E27" i="3"/>
  <c r="C27" i="3"/>
  <c r="E26" i="3"/>
  <c r="D26" i="3"/>
  <c r="D25" i="3"/>
  <c r="E25" i="3"/>
  <c r="C26" i="3"/>
  <c r="C25" i="3"/>
  <c r="D37" i="3"/>
  <c r="E37" i="3"/>
  <c r="C37" i="3"/>
  <c r="D36" i="3"/>
  <c r="E36" i="3"/>
  <c r="C36" i="3"/>
  <c r="D34" i="3"/>
  <c r="E34" i="3"/>
  <c r="C34" i="3"/>
  <c r="D18" i="3"/>
  <c r="E18" i="3"/>
  <c r="C18" i="3"/>
  <c r="D20" i="3"/>
  <c r="E20" i="3"/>
  <c r="C20" i="3"/>
  <c r="D17" i="3"/>
  <c r="E17" i="3"/>
  <c r="C17" i="3"/>
  <c r="E9" i="3"/>
  <c r="D9" i="3"/>
  <c r="C9" i="3"/>
  <c r="D6" i="3"/>
  <c r="E6" i="3"/>
  <c r="C6" i="3"/>
  <c r="D7" i="3"/>
  <c r="E7" i="3"/>
  <c r="C7" i="3"/>
  <c r="D5" i="3"/>
  <c r="E5" i="3"/>
  <c r="C5" i="3"/>
  <c r="D108" i="1"/>
  <c r="C108" i="1"/>
  <c r="B108" i="1"/>
  <c r="D99" i="1"/>
  <c r="C99" i="1"/>
  <c r="B99" i="1"/>
  <c r="D50" i="3" l="1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B62" i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<sst xmlns="http://schemas.openxmlformats.org/spreadsheetml/2006/main" count="209" uniqueCount="170">
  <si>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</si>
  <si>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</si>
  <si>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</si>
  <si>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</si>
  <si>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</si>
  <si>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</si>
  <si>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</si>
  <si>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</si>
  <si>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</si>
  <si>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</si>
  <si>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</si>
  <si>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</si>
  <si>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</si>
  <si>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</si>
  <si>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</si>
  <si>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</si>
  <si>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</si>
  <si>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</si>
  <si>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</si>
  <si>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</si>
  <si>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</si>
  <si>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</si>
  <si>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</si>
  <si>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</si>
  <si>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</si>
  <si>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</si>
  <si>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</si>
  <si>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</si>
  <si>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</si>
  <si>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</si>
  <si>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</si>
  <si>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</si>
  <si>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</si>
  <si>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</si>
  <si>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</si>
  <si>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</si>
  <si>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</si>
  <si>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</si>
  <si>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</si>
  <si>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</si>
  <si>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</si>
  <si>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</si>
  <si>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</si>
  <si>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</si>
  <si>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</si>
  <si>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</si>
  <si>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</si>
  <si>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</si>
  <si>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</si>
  <si>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</si>
  <si>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</si>
  <si>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</si>
  <si>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</si>
  <si>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</si>
  <si>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</si>
  <si>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</si>
  <si>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</si>
  <si>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</si>
  <si>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</si>
  <si>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</si>
  <si>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</si>
  <si>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</si>
  <si>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</si>
  <si>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</si>
  <si>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</si>
  <si>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</si>
  <si>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</si>
  <si>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</si>
  <si>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</si>
  <si>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</si>
  <si>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</si>
  <si>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</si>
  <si>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</si>
  <si>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</si>
  <si>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</si>
  <si>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</si>
  <si>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</si>
  <si>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</si>
  <si>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</si>
  <si>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</si>
  <si>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</si>
  <si>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</si>
  <si>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</si>
  <si>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</si>
  <si>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</si>
  <si>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</si>
  <si>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</si>
  <si>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</si>
  <si>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</si>
  <si>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</si>
  <si>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</si>
  <si>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</si>
  <si>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</si>
  <si>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</si>
  <si>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</si>
  <si>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</si>
  <si>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</si>
  <si>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</si>
  <si>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</si>
  <si>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</si>
  <si>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</si>
  <si>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</si>
  <si>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</si>
  <si>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</si>
  <si>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</si>
  <si>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</si>
  <si>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</si>
  <si>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</si>
  <si>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</si>
  <si>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</si>
  <si>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</si>
  <si>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</si>
  <si>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</si>
  <si>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</si>
  <si>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</si>
  <si>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</si>
  <si>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</si>
  <si>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</si>
  <si>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</si>
  <si>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</si>
  <si>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</si>
  <si>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</si>
  <si>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</si>
  <si>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</si>
  <si>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</si>
  <si>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</si>
  <si>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</si>
  <si>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</si>
  <si>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</si>
  <si>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</si>
  <si>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</si>
  <si>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</si>
  <si>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</si>
  <si>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</si>
  <si>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</si>
  <si>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</si>
  <si>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</si>
  <si>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</si>
  <si>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</si>
  <si>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</si>
  <si>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</si>
  <si>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</si>
  <si>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</si>
  <si>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</si>
  <si>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</si>
  <si>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</si>
  <si>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</si>
  <si>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</si>
  <si>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</si>
  <si>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</si>
  <si>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</t>
  </si>
  <si>
    <t>Margins as % of Net Sales</t>
  </si>
  <si>
    <t>Cost of goods sold (COGS)</t>
  </si>
  <si>
    <t>Research and Development</t>
  </si>
  <si>
    <t>Net Profit</t>
  </si>
  <si>
    <t>2021 to 2022</t>
  </si>
  <si>
    <t>2020 to 2021</t>
  </si>
  <si>
    <t>Additional Items</t>
  </si>
  <si>
    <t>Income Tax Rate</t>
  </si>
  <si>
    <t>CAPEX as % of sales</t>
  </si>
  <si>
    <t>CAPEX as % of fixed assets</t>
  </si>
  <si>
    <t>Feedback</t>
  </si>
  <si>
    <t>Net Sales</t>
  </si>
  <si>
    <t>Share Price</t>
  </si>
  <si>
    <t>Total Cost of Sales</t>
  </si>
  <si>
    <t>Total Operating Expenses</t>
  </si>
  <si>
    <t>Operating Income</t>
  </si>
  <si>
    <t>Total liabilities and shareholders' equity</t>
  </si>
  <si>
    <t>Total shareholders' equity</t>
  </si>
  <si>
    <t>Cash generated in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</si>
</sst>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0" fontId="2" fillId="0" borderId="0" xfId="0" applyFont="1" applyAlignment="1">
      <alignment horizontal="center"/>
    </xf>
    <xf numFmtId="164" fontId="0" fillId="0" borderId="0" xfId="1" applyFont="1"/>
    <xf numFmtId="164" fontId="0" fillId="0" borderId="0" xfId="1" quotePrefix="1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ill="1"/>
    <xf numFmtId="9" fontId="0" fillId="0" borderId="0" xfId="3" applyFont="1" applyFill="1"/>
    <xf numFmtId="0" fontId="0" fillId="0" borderId="0" xfId="0" quotePrefix="1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4" workbookViewId="0">
      <selection activeCell="A27" sqref="A2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A13" sqref="A13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8" max="8" width="8.88671875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9" t="s">
        <v>1</v>
      </c>
      <c r="B2" s="29"/>
      <c r="C2" s="29"/>
      <c r="D2" s="29"/>
    </row>
    <row r="3" spans="1:10" x14ac:dyDescent="0.3">
      <c r="B3" s="28" t="s">
        <v>23</v>
      </c>
      <c r="C3" s="28"/>
      <c r="D3" s="28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9" t="s">
        <v>24</v>
      </c>
      <c r="B31" s="29"/>
      <c r="C31" s="29"/>
      <c r="D31" s="29"/>
    </row>
    <row r="32" spans="1:4" x14ac:dyDescent="0.3">
      <c r="B32" s="28" t="s">
        <v>142</v>
      </c>
      <c r="C32" s="28"/>
      <c r="D32" s="28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9" t="s">
        <v>55</v>
      </c>
      <c r="B71" s="29"/>
      <c r="C71" s="29"/>
      <c r="D71" s="29"/>
    </row>
    <row r="72" spans="1:4" x14ac:dyDescent="0.3">
      <c r="B72" s="28" t="s">
        <v>23</v>
      </c>
      <c r="C72" s="28"/>
      <c r="D72" s="28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3"/>
  <sheetViews>
    <sheetView tabSelected="1" topLeftCell="A26" workbookViewId="0">
      <selection activeCell="F49" sqref="F49"/>
    </sheetView>
  </sheetViews>
  <sheetFormatPr defaultRowHeight="14.4" x14ac:dyDescent="0.3"/>
  <cols>
    <col min="1" max="1" width="4.6640625" customWidth="1"/>
    <col min="2" max="2" width="44.88671875" customWidth="1"/>
    <col min="3" max="3" width="16" customWidth="1"/>
    <col min="4" max="5" width="12.5546875" bestFit="1" customWidth="1"/>
    <col min="6" max="6" width="30.33203125" customWidth="1"/>
    <col min="8" max="8" width="49.33203125" customWidth="1"/>
    <col min="9" max="9" width="11.6640625" customWidth="1"/>
    <col min="10" max="10" width="11.88671875" customWidth="1"/>
    <col min="13" max="13" width="28.21875" customWidth="1"/>
    <col min="14" max="14" width="18.44140625" customWidth="1"/>
    <col min="18" max="18" width="22.88671875" customWidth="1"/>
  </cols>
  <sheetData>
    <row r="1" spans="1:21" ht="60" customHeight="1" x14ac:dyDescent="0.5">
      <c r="A1" s="6"/>
      <c r="B1" s="20" t="s">
        <v>0</v>
      </c>
      <c r="C1" s="19"/>
      <c r="D1" s="19"/>
      <c r="E1" s="19"/>
      <c r="F1" s="19" t="s">
        <v>161</v>
      </c>
      <c r="G1" s="19"/>
      <c r="H1" s="19"/>
      <c r="I1" s="19"/>
      <c r="J1" s="19"/>
      <c r="K1" s="19"/>
    </row>
    <row r="2" spans="1:21" x14ac:dyDescent="0.3">
      <c r="C2" s="28" t="s">
        <v>23</v>
      </c>
      <c r="D2" s="28"/>
      <c r="E2" s="28"/>
      <c r="F2" s="24"/>
    </row>
    <row r="3" spans="1:2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21" x14ac:dyDescent="0.3">
      <c r="A4" s="18">
        <v>1</v>
      </c>
      <c r="B4" s="7" t="s">
        <v>99</v>
      </c>
      <c r="H4" s="7" t="s">
        <v>150</v>
      </c>
      <c r="I4" s="7" t="s">
        <v>155</v>
      </c>
      <c r="J4" s="7" t="s">
        <v>156</v>
      </c>
      <c r="M4" s="7" t="s">
        <v>151</v>
      </c>
      <c r="N4" s="7">
        <v>2022</v>
      </c>
      <c r="O4" s="7">
        <v>2021</v>
      </c>
      <c r="P4" s="7">
        <v>2020</v>
      </c>
      <c r="R4" s="7" t="s">
        <v>157</v>
      </c>
      <c r="S4" s="7">
        <v>2022</v>
      </c>
      <c r="T4" s="7">
        <v>2021</v>
      </c>
      <c r="U4" s="7">
        <v>2020</v>
      </c>
    </row>
    <row r="5" spans="1:21" x14ac:dyDescent="0.3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  <c r="H5" t="s">
        <v>162</v>
      </c>
      <c r="I5" s="23">
        <f>('Financial Statements'!B8-'Financial Statements'!C8)/'Financial Statements'!C8</f>
        <v>7.7937876041846058E-2</v>
      </c>
      <c r="J5" s="23">
        <f>('Financial Statements'!C8-'Financial Statements'!D8)/'Financial Statements'!D8</f>
        <v>0.33259384733074693</v>
      </c>
      <c r="M5" t="s">
        <v>152</v>
      </c>
      <c r="N5" s="23">
        <f>'Financial Statements'!B12/'Financial Statements'!B8</f>
        <v>0.56690369438639909</v>
      </c>
      <c r="O5" s="23">
        <f>'Financial Statements'!C12/'Financial Statements'!C8</f>
        <v>0.58220640374832222</v>
      </c>
      <c r="P5" s="23">
        <f>'Financial Statements'!D12/'Financial Statements'!D8</f>
        <v>0.61766752272189129</v>
      </c>
      <c r="R5" t="s">
        <v>158</v>
      </c>
      <c r="S5">
        <f>'Financial Statements'!B21/'Financial Statements'!B20</f>
        <v>0.16204461684424407</v>
      </c>
      <c r="T5">
        <f>'Financial Statements'!C21/'Financial Statements'!C20</f>
        <v>0.13302260844085087</v>
      </c>
      <c r="U5">
        <f>'Financial Statements'!D21/'Financial Statements'!D20</f>
        <v>0.14428164731484103</v>
      </c>
    </row>
    <row r="6" spans="1:21" x14ac:dyDescent="0.3">
      <c r="A6" s="18">
        <f t="shared" ref="A6:A13" si="0">+A5+0.1</f>
        <v>1.2000000000000002</v>
      </c>
      <c r="B6" s="1" t="s">
        <v>101</v>
      </c>
      <c r="C6" s="25">
        <f>('Financial Statements'!B36+'Financial Statements'!B37+'Financial Statements'!B38)/'Financial Statements'!B56</f>
        <v>0.49673338442155579</v>
      </c>
      <c r="D6" s="25">
        <f>('Financial Statements'!C36+'Financial Statements'!C37+'Financial Statements'!C38)/'Financial Statements'!C56</f>
        <v>0.70860927152317876</v>
      </c>
      <c r="E6" s="25">
        <f>('Financial Statements'!D36+'Financial Statements'!D37+'Financial Statements'!D38)/'Financial Statements'!D56</f>
        <v>1.0158550933657204</v>
      </c>
      <c r="H6" t="s">
        <v>164</v>
      </c>
      <c r="I6" s="23">
        <f>('Financial Statements'!B12-'Financial Statements'!C12)/'Financial Statements'!C12</f>
        <v>4.9605363858747961E-2</v>
      </c>
      <c r="J6" s="23">
        <f>('Financial Statements'!C12-'Financial Statements'!D12)/'Financial Statements'!D12</f>
        <v>0.25608785142634716</v>
      </c>
      <c r="M6" t="s">
        <v>89</v>
      </c>
      <c r="N6" s="23">
        <f>'Financial Statements'!B13/'Financial Statements'!B8</f>
        <v>0.43309630561360085</v>
      </c>
      <c r="O6" s="23">
        <f>'Financial Statements'!C13/'Financial Statements'!C8</f>
        <v>0.41779359625167778</v>
      </c>
      <c r="P6" s="23">
        <f>'Financial Statements'!D13/'Financial Statements'!D8</f>
        <v>0.38233247727810865</v>
      </c>
      <c r="R6" t="s">
        <v>159</v>
      </c>
      <c r="S6" s="23">
        <f>-'Financial Statements'!B96/'Financial Statements'!B8</f>
        <v>2.7155058732831552E-2</v>
      </c>
      <c r="T6" s="23">
        <f>-'Financial Statements'!C96/'Financial Statements'!C8</f>
        <v>3.0302036264033657E-2</v>
      </c>
      <c r="U6" s="23">
        <f>-'Financial Statements'!D96/'Financial Statements'!D8</f>
        <v>2.6625138881299748E-2</v>
      </c>
    </row>
    <row r="7" spans="1:21" x14ac:dyDescent="0.3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  <c r="H7" t="s">
        <v>9</v>
      </c>
      <c r="I7" s="23">
        <f>('Financial Statements'!B13-'Financial Statements'!C13)/'Financial Statements'!C13</f>
        <v>0.11741997958596143</v>
      </c>
      <c r="J7" s="23">
        <f>('Financial Statements'!C13-'Financial Statements'!D13)/'Financial Statements'!D13</f>
        <v>0.45619116582186819</v>
      </c>
      <c r="M7" t="s">
        <v>153</v>
      </c>
      <c r="N7" s="23">
        <f>'Financial Statements'!B15/'Financial Statements'!B8</f>
        <v>6.657148363798665E-2</v>
      </c>
      <c r="O7" s="23">
        <f>'Financial Statements'!C15/'Financial Statements'!C8</f>
        <v>5.9904269074427925E-2</v>
      </c>
      <c r="P7" s="23">
        <f>'Financial Statements'!D15/'Financial Statements'!D8</f>
        <v>6.8309564140393061E-2</v>
      </c>
      <c r="R7" t="s">
        <v>160</v>
      </c>
      <c r="S7" s="23">
        <f>-'Financial Statements'!B96/'Financial Statements'!B45</f>
        <v>0.25424412944891611</v>
      </c>
      <c r="T7" s="23">
        <f>-'Financial Statements'!C96/'Financial Statements'!C45</f>
        <v>0.28105983772819471</v>
      </c>
      <c r="U7" s="23">
        <f>-'Financial Statements'!D96/'Financial Statements'!D45</f>
        <v>0.19879780231735844</v>
      </c>
    </row>
    <row r="8" spans="1:21" x14ac:dyDescent="0.3">
      <c r="A8" s="18">
        <f t="shared" si="0"/>
        <v>1.4000000000000004</v>
      </c>
      <c r="B8" s="1" t="s">
        <v>103</v>
      </c>
      <c r="C8" s="25">
        <f>('Financial Statements'!B42)/('Financial Statements'!B17-SUM('Financial Statements'!B79:B82)/365)</f>
        <v>2.6401396234581216</v>
      </c>
      <c r="D8" s="25">
        <f>('Financial Statements'!C42)/('Financial Statements'!C17-SUM('Financial Statements'!C79:C82)/365)</f>
        <v>3.0750840733029476</v>
      </c>
      <c r="E8" s="25">
        <f>('Financial Statements'!D42)/('Financial Statements'!D17-SUM('Financial Statements'!D79:D82)/365)</f>
        <v>3.7212206199281268</v>
      </c>
      <c r="F8" s="32"/>
      <c r="H8" t="s">
        <v>165</v>
      </c>
      <c r="I8" s="23">
        <f>('Financial Statements'!B17-'Financial Statements'!C17)/'Financial Statements'!C17</f>
        <v>0.16993642764372138</v>
      </c>
      <c r="J8" s="23">
        <f>('Financial Statements'!C17-'Financial Statements'!D17)/'Financial Statements'!D17</f>
        <v>0.13496948381090307</v>
      </c>
      <c r="M8" t="s">
        <v>12</v>
      </c>
      <c r="N8" s="23">
        <f>'Financial Statements'!B16/'Financial Statements'!B8</f>
        <v>6.3637378020328261E-2</v>
      </c>
      <c r="O8" s="23">
        <f>'Financial Statements'!C16/'Financial Statements'!C8</f>
        <v>6.006555190163388E-2</v>
      </c>
      <c r="P8" s="23">
        <f>'Financial Statements'!D16/'Financial Statements'!D8</f>
        <v>7.2549769593646979E-2</v>
      </c>
    </row>
    <row r="9" spans="1:21" x14ac:dyDescent="0.3">
      <c r="A9" s="18">
        <f t="shared" si="0"/>
        <v>1.5000000000000004</v>
      </c>
      <c r="B9" s="1" t="s">
        <v>104</v>
      </c>
      <c r="C9" s="25">
        <f>365*'Financial Statements'!B39/'Financial Statements'!B12</f>
        <v>8.0756980666171607</v>
      </c>
      <c r="D9" s="25">
        <f>365*'Financial Statements'!C39/'Financial Statements'!C12</f>
        <v>11.27659274770989</v>
      </c>
      <c r="E9" s="25">
        <f>365*'Financial Statements'!D39/'Financial Statements'!D12</f>
        <v>8.7418833562358831</v>
      </c>
      <c r="F9" s="32"/>
      <c r="H9" t="s">
        <v>166</v>
      </c>
      <c r="I9" s="23">
        <f>('Financial Statements'!B18-'Financial Statements'!C18)/'Financial Statements'!C18</f>
        <v>9.6265225013538444E-2</v>
      </c>
      <c r="J9" s="23">
        <f>('Financial Statements'!C18-'Financial Statements'!D18)/'Financial Statements'!D18</f>
        <v>0.64357048032826458</v>
      </c>
      <c r="M9" t="s">
        <v>14</v>
      </c>
      <c r="N9" s="23">
        <f>'Financial Statements'!B18/'Financial Statements'!B8</f>
        <v>0.30288744395528594</v>
      </c>
      <c r="O9" s="23">
        <f>'Financial Statements'!C18/'Financial Statements'!C8</f>
        <v>0.29782377527561593</v>
      </c>
      <c r="P9" s="23">
        <f>'Financial Statements'!D18/'Financial Statements'!D8</f>
        <v>0.24147314354406862</v>
      </c>
    </row>
    <row r="10" spans="1:21" x14ac:dyDescent="0.3">
      <c r="A10" s="18">
        <f t="shared" si="0"/>
        <v>1.6000000000000005</v>
      </c>
      <c r="B10" s="1" t="s">
        <v>105</v>
      </c>
      <c r="C10" s="25">
        <f>365*'Financial Statements'!B51/'Financial Statements'!B12</f>
        <v>104.68527730310539</v>
      </c>
      <c r="D10" s="25">
        <f>365*'Financial Statements'!C51/'Financial Statements'!C12</f>
        <v>93.85107122231561</v>
      </c>
      <c r="E10" s="25">
        <f>365*'Financial Statements'!D51/'Financial Statements'!D12</f>
        <v>91.048189715674184</v>
      </c>
      <c r="F10" s="32"/>
      <c r="H10" t="s">
        <v>16</v>
      </c>
      <c r="I10" s="23">
        <f>('Financial Statements'!B20-'Financial Statements'!C20)/'Financial Statements'!C20</f>
        <v>9.0616901846951203E-2</v>
      </c>
      <c r="J10" s="23">
        <f>('Financial Statements'!C20-'Financial Statements'!D20)/'Financial Statements'!D20</f>
        <v>0.62774440685039723</v>
      </c>
      <c r="M10" t="s">
        <v>154</v>
      </c>
      <c r="N10" s="23">
        <f>'Financial Statements'!B22/'Financial Statements'!B8</f>
        <v>0.25309640705199732</v>
      </c>
      <c r="O10" s="23">
        <f>'Financial Statements'!C22/'Financial Statements'!C8</f>
        <v>0.25881793355694238</v>
      </c>
      <c r="P10" s="23">
        <f>'Financial Statements'!D22/'Financial Statements'!D8</f>
        <v>0.20913611278072236</v>
      </c>
    </row>
    <row r="11" spans="1:21" x14ac:dyDescent="0.3">
      <c r="A11" s="18">
        <f t="shared" si="0"/>
        <v>1.7000000000000006</v>
      </c>
      <c r="B11" s="1" t="s">
        <v>106</v>
      </c>
      <c r="C11" s="25">
        <f>365*'Financial Statements'!B38/'Financial Statements'!B8</f>
        <v>26.087825363656652</v>
      </c>
      <c r="D11" s="25">
        <f>365*'Financial Statements'!C38/'Financial Statements'!C8</f>
        <v>26.219311841713207</v>
      </c>
      <c r="E11" s="25">
        <f>365*'Financial Statements'!D38/'Financial Statements'!D8</f>
        <v>21.433437152796749</v>
      </c>
      <c r="F11" s="32"/>
      <c r="H11" s="30" t="s">
        <v>18</v>
      </c>
      <c r="I11" s="23">
        <f>('Financial Statements'!B22-'Financial Statements'!C22)/'Financial Statements'!C22</f>
        <v>5.4108576256865229E-2</v>
      </c>
      <c r="J11" s="23">
        <f>('Financial Statements'!C22-'Financial Statements'!D22)/'Financial Statements'!D22</f>
        <v>0.64916131055024295</v>
      </c>
    </row>
    <row r="12" spans="1:21" x14ac:dyDescent="0.3">
      <c r="A12" s="18">
        <f t="shared" si="0"/>
        <v>1.8000000000000007</v>
      </c>
      <c r="B12" s="1" t="s">
        <v>107</v>
      </c>
      <c r="C12" s="25">
        <f>C9-C10+C11</f>
        <v>-70.521753872831582</v>
      </c>
      <c r="D12" s="25">
        <f t="shared" ref="D12:E12" si="1">D9-D10+D11</f>
        <v>-56.355166632892519</v>
      </c>
      <c r="E12" s="25">
        <f t="shared" si="1"/>
        <v>-60.872869206641546</v>
      </c>
      <c r="F12" s="32"/>
      <c r="H12" s="30" t="s">
        <v>31</v>
      </c>
      <c r="I12" s="23">
        <f>('Financial Statements'!B42-'Financial Statements'!C42)/'Financial Statements'!C42</f>
        <v>4.2199412619775131E-3</v>
      </c>
      <c r="J12" s="23">
        <f>('Financial Statements'!C42-'Financial Statements'!D42)/'Financial Statements'!D42</f>
        <v>-6.176894226687913E-2</v>
      </c>
    </row>
    <row r="13" spans="1:21" x14ac:dyDescent="0.3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  <c r="F13" s="33"/>
      <c r="H13" s="30" t="s">
        <v>50</v>
      </c>
      <c r="I13" s="23">
        <f>('Financial Statements'!B47-'Financial Statements'!C47)/'Financial Statements'!C47</f>
        <v>5.4772720964443994E-3</v>
      </c>
      <c r="J13" s="23">
        <f>('Financial Statements'!C47-'Financial Statements'!D47)/'Financial Statements'!D47</f>
        <v>0.19975579297904814</v>
      </c>
    </row>
    <row r="14" spans="1:21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F14" s="32"/>
      <c r="H14" s="30" t="s">
        <v>33</v>
      </c>
      <c r="I14" s="23">
        <f>('Financial Statements'!B48-'Financial Statements'!C48)/'Financial Statements'!C48</f>
        <v>4.9942735369029236E-3</v>
      </c>
      <c r="J14" s="23">
        <f>('Financial Statements'!C48-'Financial Statements'!D48)/'Financial Statements'!D48</f>
        <v>8.3714123400681711E-2</v>
      </c>
    </row>
    <row r="15" spans="1:21" x14ac:dyDescent="0.3">
      <c r="A15" s="18"/>
      <c r="F15" s="32"/>
      <c r="H15" s="31" t="s">
        <v>40</v>
      </c>
      <c r="I15" s="23">
        <f>('Financial Statements'!B56-'Financial Statements'!C56)/'Financial Statements'!C56</f>
        <v>0.22713398841258836</v>
      </c>
      <c r="J15" s="23">
        <f>('Financial Statements'!C56-'Financial Statements'!D56)/'Financial Statements'!D56</f>
        <v>0.19061219067860938</v>
      </c>
    </row>
    <row r="16" spans="1:21" x14ac:dyDescent="0.3">
      <c r="A16" s="18">
        <f>+A4+1</f>
        <v>2</v>
      </c>
      <c r="B16" s="17" t="s">
        <v>110</v>
      </c>
      <c r="F16" s="32"/>
      <c r="H16" s="31" t="s">
        <v>53</v>
      </c>
      <c r="I16" s="23">
        <f>('Financial Statements'!B61-'Financial Statements'!C61)/'Financial Statements'!C61</f>
        <v>-8.8222075835277747E-2</v>
      </c>
      <c r="J16" s="23">
        <f>('Financial Statements'!C61-'Financial Statements'!D61)/'Financial Statements'!D61</f>
        <v>6.0552243775994566E-2</v>
      </c>
    </row>
    <row r="17" spans="1:10" x14ac:dyDescent="0.3">
      <c r="A17" s="18">
        <f>+A16+0.1</f>
        <v>2.1</v>
      </c>
      <c r="B17" s="1" t="s">
        <v>9</v>
      </c>
      <c r="C17" s="25">
        <f>'Financial Statements'!B13/'Financial Statements'!B8</f>
        <v>0.43309630561360085</v>
      </c>
      <c r="D17" s="25">
        <f>'Financial Statements'!C13/'Financial Statements'!C8</f>
        <v>0.41779359625167778</v>
      </c>
      <c r="E17" s="25">
        <f>'Financial Statements'!D13/'Financial Statements'!D8</f>
        <v>0.38233247727810865</v>
      </c>
      <c r="F17" s="32"/>
      <c r="H17" s="31" t="s">
        <v>41</v>
      </c>
      <c r="I17" s="23">
        <f>('Financial Statements'!B62-'Financial Statements'!C62)/'Financial Statements'!C62</f>
        <v>4.9219900525160468E-2</v>
      </c>
      <c r="J17" s="23">
        <f>('Financial Statements'!C62-'Financial Statements'!D62)/'Financial Statements'!D62</f>
        <v>0.11356841449783213</v>
      </c>
    </row>
    <row r="18" spans="1:10" x14ac:dyDescent="0.3">
      <c r="A18" s="18">
        <f>+A17+0.1</f>
        <v>2.2000000000000002</v>
      </c>
      <c r="B18" s="1" t="s">
        <v>111</v>
      </c>
      <c r="C18" s="25">
        <f>('Financial Statements'!B18-'Financial Statements'!B79)/'Financial Statements'!B8</f>
        <v>0.27472814509748228</v>
      </c>
      <c r="D18" s="25">
        <f>('Financial Statements'!C18-'Financial Statements'!C79)/'Financial Statements'!C8</f>
        <v>0.2669777511706673</v>
      </c>
      <c r="E18" s="25">
        <f>('Financial Statements'!D18-'Financial Statements'!D79)/'Financial Statements'!D8</f>
        <v>0.20119847731453655</v>
      </c>
      <c r="F18" s="32"/>
      <c r="H18" s="31" t="s">
        <v>168</v>
      </c>
      <c r="I18" s="23">
        <f>('Financial Statements'!B68-'Financial Statements'!C68)/'Financial Statements'!C68</f>
        <v>-0.19682992550324932</v>
      </c>
      <c r="J18" s="23">
        <f>('Financial Statements'!C68-'Financial Statements'!D68)/'Financial Statements'!D68</f>
        <v>-3.4420483937617659E-2</v>
      </c>
    </row>
    <row r="19" spans="1:10" x14ac:dyDescent="0.3">
      <c r="A19" s="18"/>
      <c r="B19" s="3" t="s">
        <v>112</v>
      </c>
      <c r="C19" s="25">
        <f>'Financial Statements'!B18+'Financial Statements'!B79</f>
        <v>130541</v>
      </c>
      <c r="D19" s="25">
        <f>'Financial Statements'!C18+'Financial Statements'!C79</f>
        <v>120233</v>
      </c>
      <c r="E19" s="25">
        <f>'Financial Statements'!D18+'Financial Statements'!D79</f>
        <v>77344</v>
      </c>
      <c r="F19" s="32"/>
      <c r="H19" s="31" t="s">
        <v>167</v>
      </c>
      <c r="I19" s="23">
        <f>('Financial Statements'!B69-'Financial Statements'!C69)/'Financial Statements'!C69</f>
        <v>4.9942735369029236E-3</v>
      </c>
      <c r="J19" s="23">
        <f>('Financial Statements'!C69-'Financial Statements'!D69)/'Financial Statements'!D69</f>
        <v>8.3714123400681711E-2</v>
      </c>
    </row>
    <row r="20" spans="1:10" x14ac:dyDescent="0.3">
      <c r="A20" s="18">
        <f>+A18+0.1</f>
        <v>2.3000000000000003</v>
      </c>
      <c r="B20" s="1" t="s">
        <v>113</v>
      </c>
      <c r="C20" s="25">
        <f>'Financial Statements'!B18/'Financial Statements'!B8</f>
        <v>0.30288744395528594</v>
      </c>
      <c r="D20" s="25">
        <f>'Financial Statements'!C18/'Financial Statements'!C8</f>
        <v>0.29782377527561593</v>
      </c>
      <c r="E20" s="25">
        <f>'Financial Statements'!D18/'Financial Statements'!D8</f>
        <v>0.24147314354406862</v>
      </c>
      <c r="F20" s="32"/>
      <c r="H20" t="s">
        <v>63</v>
      </c>
      <c r="I20" s="23">
        <f>('Financial Statements'!B91-'Financial Statements'!C91)/'Financial Statements'!C91</f>
        <v>0.17409984813241317</v>
      </c>
      <c r="J20" s="23">
        <f>('Financial Statements'!C91-'Financial Statements'!D91)/'Financial Statements'!D91</f>
        <v>0.28961003545132263</v>
      </c>
    </row>
    <row r="21" spans="1:10" x14ac:dyDescent="0.3">
      <c r="A21" s="18"/>
      <c r="B21" s="3" t="s">
        <v>114</v>
      </c>
      <c r="C21" s="26">
        <f>'Financial Statements'!B18</f>
        <v>119437</v>
      </c>
      <c r="D21" s="26">
        <f>'Financial Statements'!C18</f>
        <v>108949</v>
      </c>
      <c r="E21" s="26">
        <f>'Financial Statements'!D18</f>
        <v>66288</v>
      </c>
      <c r="F21" s="34"/>
      <c r="H21" t="s">
        <v>70</v>
      </c>
      <c r="I21" s="23">
        <f>('Financial Statements'!B99-'Financial Statements'!C99)/'Financial Statements'!C99</f>
        <v>0.53688552767273978</v>
      </c>
      <c r="J21" s="23">
        <f>('Financial Statements'!C99-'Financial Statements'!D99)/'Financial Statements'!D99</f>
        <v>2.3912333877360692</v>
      </c>
    </row>
    <row r="22" spans="1:10" x14ac:dyDescent="0.3">
      <c r="A22" s="18">
        <f>+A20+0.1</f>
        <v>2.4000000000000004</v>
      </c>
      <c r="B22" s="1" t="s">
        <v>115</v>
      </c>
      <c r="C22" s="25">
        <f>'Financial Statements'!B22/'Financial Statements'!B13</f>
        <v>0.58438828447962898</v>
      </c>
      <c r="D22" s="25">
        <f>'Financial Statements'!C22/'Financial Statements'!C13</f>
        <v>0.61948755528802113</v>
      </c>
      <c r="E22" s="25">
        <f>'Financial Statements'!D22/'Financial Statements'!D13</f>
        <v>0.54700064789054459</v>
      </c>
      <c r="F22" s="32"/>
      <c r="H22" t="s">
        <v>169</v>
      </c>
      <c r="I22" s="23">
        <f>('Financial Statements'!B108-'Financial Statements'!C108)/'Financial Statements'!C108</f>
        <v>0.18634644842693862</v>
      </c>
      <c r="J22" s="23">
        <f>('Financial Statements'!C108-'Financial Statements'!D108)/'Financial Statements'!D108</f>
        <v>7.5247638792904858E-2</v>
      </c>
    </row>
    <row r="23" spans="1:10" x14ac:dyDescent="0.3">
      <c r="A23" s="18"/>
      <c r="F23" s="32"/>
      <c r="H23" t="s">
        <v>78</v>
      </c>
      <c r="I23" s="23">
        <f>('Financial Statements'!B109-'Financial Statements'!C109)/'Financial Statements'!C109</f>
        <v>1.8373056994818653</v>
      </c>
      <c r="J23" s="23">
        <f>('Financial Statements'!C109-'Financial Statements'!D109)/'Financial Statements'!D109</f>
        <v>-0.6300910397700048</v>
      </c>
    </row>
    <row r="24" spans="1:10" x14ac:dyDescent="0.3">
      <c r="A24" s="18">
        <f>+A16+1</f>
        <v>3</v>
      </c>
      <c r="B24" s="7" t="s">
        <v>116</v>
      </c>
      <c r="F24" s="32"/>
      <c r="H24" t="s">
        <v>79</v>
      </c>
      <c r="I24" s="23">
        <f>('Financial Statements'!B110-'Financial Statements'!C110)/'Financial Statements'!C110</f>
        <v>-0.30482340170892591</v>
      </c>
      <c r="J24" s="23">
        <f>('Financial Statements'!C110-'Financial Statements'!D110)/'Financial Statements'!D110</f>
        <v>-9.7011736912211918E-2</v>
      </c>
    </row>
    <row r="25" spans="1:10" x14ac:dyDescent="0.3">
      <c r="A25" s="18">
        <f>+A24+0.1</f>
        <v>3.1</v>
      </c>
      <c r="B25" s="1" t="s">
        <v>117</v>
      </c>
      <c r="C25" s="25">
        <f>('Financial Statements'!B59+'Financial Statements'!B55)/'Financial Statements'!B68</f>
        <v>2.1725410483107042</v>
      </c>
      <c r="D25" s="25">
        <f>('Financial Statements'!C59+'Financial Statements'!C55)/'Financial Statements'!C68</f>
        <v>1.8817403708987162</v>
      </c>
      <c r="E25" s="25">
        <f>('Financial Statements'!D59+'Financial Statements'!D55)/'Financial Statements'!D68</f>
        <v>1.6443471739696047</v>
      </c>
      <c r="F25" s="32"/>
      <c r="I25" s="23"/>
      <c r="J25" s="23"/>
    </row>
    <row r="26" spans="1:10" x14ac:dyDescent="0.3">
      <c r="A26" s="18">
        <f t="shared" ref="A26:A30" si="2">+A25+0.1</f>
        <v>3.2</v>
      </c>
      <c r="B26" s="1" t="s">
        <v>118</v>
      </c>
      <c r="C26" s="25">
        <f>('Financial Statements'!B59+'Financial Statements'!B55)/'Financial Statements'!B48</f>
        <v>0.31207778769967826</v>
      </c>
      <c r="D26" s="25">
        <f>('Financial Statements'!C59+'Financial Statements'!C55)/'Financial Statements'!C48</f>
        <v>0.33822884200090025</v>
      </c>
      <c r="E26" s="25">
        <f>('Financial Statements'!D59+'Financial Statements'!D55)/'Financial Statements'!D48</f>
        <v>0.33171960677765155</v>
      </c>
      <c r="F26" s="32"/>
      <c r="I26" s="23"/>
      <c r="J26" s="23"/>
    </row>
    <row r="27" spans="1:10" x14ac:dyDescent="0.3">
      <c r="A27" s="18">
        <f t="shared" si="2"/>
        <v>3.3000000000000003</v>
      </c>
      <c r="B27" s="1" t="s">
        <v>119</v>
      </c>
      <c r="C27" s="25">
        <f>('Financial Statements'!B59+'Financial Statements'!B55)/('Financial Statements'!B59+'Financial Statements'!B55+'Financial Statements'!B68)</f>
        <v>0.68479525252085416</v>
      </c>
      <c r="D27" s="25">
        <f>('Financial Statements'!C59+'Financial Statements'!C55)/('Financial Statements'!C59+'Financial Statements'!C55+'Financial Statements'!C68)</f>
        <v>0.65298747586753136</v>
      </c>
      <c r="E27" s="25">
        <f>('Financial Statements'!D59+'Financial Statements'!D55)/('Financial Statements'!D59+'Financial Statements'!D55+'Financial Statements'!D68)</f>
        <v>0.62183482946422886</v>
      </c>
      <c r="F27" s="32"/>
    </row>
    <row r="28" spans="1:10" x14ac:dyDescent="0.3">
      <c r="A28" s="18">
        <f t="shared" si="2"/>
        <v>3.4000000000000004</v>
      </c>
      <c r="B28" s="1" t="s">
        <v>120</v>
      </c>
      <c r="C28" s="25">
        <f>'Financial Statements'!B18/'Financial Statements'!B114</f>
        <v>41.68830715532286</v>
      </c>
      <c r="D28" s="25">
        <f>'Financial Statements'!C18/'Financial Statements'!C114</f>
        <v>40.546706363974693</v>
      </c>
      <c r="E28" s="25">
        <f>'Financial Statements'!D18/'Financial Statements'!D114</f>
        <v>22.081279147235175</v>
      </c>
      <c r="F28" s="32"/>
    </row>
    <row r="29" spans="1:10" x14ac:dyDescent="0.3">
      <c r="A29" s="18">
        <f t="shared" si="2"/>
        <v>3.5000000000000004</v>
      </c>
      <c r="B29" s="1" t="s">
        <v>121</v>
      </c>
      <c r="C29" s="25">
        <f>-(C21/('Financial Statements'!B114+'Financial Statements'!B105))</f>
        <v>17.88514525306978</v>
      </c>
      <c r="D29" s="25">
        <f>-(D21/('Financial Statements'!C114+'Financial Statements'!C105))</f>
        <v>17.969487052614216</v>
      </c>
      <c r="E29" s="25">
        <f>-(E21/('Financial Statements'!D114+'Financial Statements'!D105))</f>
        <v>6.8856341539420383</v>
      </c>
      <c r="F29" s="32"/>
    </row>
    <row r="30" spans="1:10" x14ac:dyDescent="0.3">
      <c r="A30" s="18">
        <f t="shared" si="2"/>
        <v>3.6000000000000005</v>
      </c>
      <c r="B30" s="1" t="s">
        <v>122</v>
      </c>
      <c r="C30" s="25">
        <f>(C31)/('Financial Statements'!B28/1000)</f>
        <v>8.4727142938433904</v>
      </c>
      <c r="D30" s="25">
        <f>(D31)/('Financial Statements'!C28/1000)</f>
        <v>8.0353780531053829</v>
      </c>
      <c r="E30" s="25">
        <f>(E31)/('Financial Statements'!D28/1000)</f>
        <v>5.9375130860451613</v>
      </c>
      <c r="F30" s="32"/>
    </row>
    <row r="31" spans="1:10" x14ac:dyDescent="0.3">
      <c r="A31" s="18"/>
      <c r="B31" s="3" t="s">
        <v>123</v>
      </c>
      <c r="C31" s="25">
        <f>'Financial Statements'!B91-'Financial Statements'!B96+'Financial Statements'!B104</f>
        <v>138324</v>
      </c>
      <c r="D31" s="25">
        <f>'Financial Statements'!C91-'Financial Statements'!C96+'Financial Statements'!C104</f>
        <v>135516</v>
      </c>
      <c r="E31" s="25">
        <f>'Financial Statements'!D91-'Financial Statements'!D96+'Financial Statements'!D104</f>
        <v>104074</v>
      </c>
      <c r="F31" s="32"/>
    </row>
    <row r="32" spans="1:10" x14ac:dyDescent="0.3">
      <c r="A32" s="18"/>
      <c r="C32" s="25"/>
      <c r="D32" s="25"/>
      <c r="E32" s="25"/>
      <c r="F32" s="32"/>
    </row>
    <row r="33" spans="1:8" x14ac:dyDescent="0.3">
      <c r="A33" s="18">
        <f>+A24+1</f>
        <v>4</v>
      </c>
      <c r="B33" s="17" t="s">
        <v>124</v>
      </c>
      <c r="C33" s="25"/>
      <c r="D33" s="25"/>
      <c r="E33" s="25"/>
      <c r="F33" s="32"/>
    </row>
    <row r="34" spans="1:8" x14ac:dyDescent="0.3">
      <c r="A34" s="18">
        <f>+A33+0.1</f>
        <v>4.0999999999999996</v>
      </c>
      <c r="B34" s="1" t="s">
        <v>125</v>
      </c>
      <c r="C34" s="25">
        <f>'Financial Statements'!B8/'Financial Statements'!B48</f>
        <v>1.1178523337727317</v>
      </c>
      <c r="D34" s="25">
        <f>'Financial Statements'!C8/'Financial Statements'!C48</f>
        <v>1.0422077367080529</v>
      </c>
      <c r="E34" s="25">
        <f>'Financial Statements'!D8/'Financial Statements'!D48</f>
        <v>0.84756150274168851</v>
      </c>
      <c r="F34" s="32"/>
    </row>
    <row r="35" spans="1:8" x14ac:dyDescent="0.3">
      <c r="A35" s="18">
        <f t="shared" ref="A35:A37" si="3">+A34+0.1</f>
        <v>4.1999999999999993</v>
      </c>
      <c r="B35" s="1" t="s">
        <v>126</v>
      </c>
      <c r="C35" s="25">
        <f>'Financial Statements'!B8/'Financial Statements'!B45</f>
        <v>9.3626801529073767</v>
      </c>
      <c r="D35" s="25">
        <f>'Financial Statements'!C8/'Financial Statements'!C45</f>
        <v>9.2752789046653152</v>
      </c>
      <c r="E35" s="25">
        <f>'Financial Statements'!D8/'Financial Statements'!D45</f>
        <v>7.4665451776097482</v>
      </c>
      <c r="F35" s="32"/>
    </row>
    <row r="36" spans="1:8" x14ac:dyDescent="0.3">
      <c r="A36" s="18">
        <f t="shared" si="3"/>
        <v>4.2999999999999989</v>
      </c>
      <c r="B36" s="1" t="s">
        <v>127</v>
      </c>
      <c r="C36" s="25">
        <f>'Financial Statements'!B12/'Financial Statements'!B39</f>
        <v>45.197331176708452</v>
      </c>
      <c r="D36" s="25">
        <f>'Financial Statements'!C12/'Financial Statements'!C39</f>
        <v>32.367933130699086</v>
      </c>
      <c r="E36" s="25">
        <f>'Financial Statements'!D12/'Financial Statements'!D39</f>
        <v>41.753016498399411</v>
      </c>
      <c r="F36" s="32"/>
      <c r="H36" s="27"/>
    </row>
    <row r="37" spans="1:8" x14ac:dyDescent="0.3">
      <c r="A37" s="18">
        <f t="shared" si="3"/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  <c r="F37" s="32"/>
    </row>
    <row r="38" spans="1:8" x14ac:dyDescent="0.3">
      <c r="A38" s="18"/>
      <c r="F38" s="32"/>
    </row>
    <row r="39" spans="1:8" x14ac:dyDescent="0.3">
      <c r="A39" s="18">
        <f>+A33+1</f>
        <v>5</v>
      </c>
      <c r="B39" s="17" t="s">
        <v>129</v>
      </c>
      <c r="F39" s="32"/>
    </row>
    <row r="40" spans="1:8" x14ac:dyDescent="0.3">
      <c r="A40" s="18">
        <f>+A39+0.1</f>
        <v>5.0999999999999996</v>
      </c>
      <c r="B40" s="1" t="s">
        <v>130</v>
      </c>
      <c r="C40" s="25">
        <f>C53/'List of Ratios'!C41</f>
        <v>31.762414709277273</v>
      </c>
      <c r="D40" s="25">
        <f>C53/'List of Ratios'!D41</f>
        <v>34.586621485318972</v>
      </c>
      <c r="E40" s="25">
        <f>C53/'List of Ratios'!E41</f>
        <v>59.282251003814594</v>
      </c>
      <c r="F40" s="32"/>
    </row>
    <row r="41" spans="1:8" x14ac:dyDescent="0.3">
      <c r="A41" s="18">
        <f t="shared" ref="A41:A44" si="4">+A40+0.1</f>
        <v>5.1999999999999993</v>
      </c>
      <c r="B41" s="3" t="s">
        <v>131</v>
      </c>
      <c r="C41" s="25">
        <f>'Financial Statements'!B22/('Financial Statements'!B28/1000)</f>
        <v>6.1132002014722815</v>
      </c>
      <c r="D41" s="25">
        <f>'Financial Statements'!C22/('Financial Statements'!C28/1000)</f>
        <v>5.6140204408927188</v>
      </c>
      <c r="E41" s="25">
        <f>'Financial Statements'!D22/('Financial Statements'!D28/1000)</f>
        <v>3.2753479618630856</v>
      </c>
      <c r="F41" s="32"/>
    </row>
    <row r="42" spans="1:8" x14ac:dyDescent="0.3">
      <c r="A42" s="18">
        <f t="shared" si="4"/>
        <v>5.2999999999999989</v>
      </c>
      <c r="B42" s="1" t="s">
        <v>132</v>
      </c>
      <c r="C42" s="25">
        <f>C53/C43</f>
        <v>62.558893969647919</v>
      </c>
      <c r="D42" s="25">
        <f>C53/D43</f>
        <v>51.904601715485811</v>
      </c>
      <c r="E42" s="25">
        <f>C53/E43</f>
        <v>52.089155211741833</v>
      </c>
      <c r="F42" s="32"/>
    </row>
    <row r="43" spans="1:8" x14ac:dyDescent="0.3">
      <c r="A43" s="18">
        <f t="shared" si="4"/>
        <v>5.3999999999999986</v>
      </c>
      <c r="B43" s="3" t="s">
        <v>133</v>
      </c>
      <c r="C43" s="25">
        <f>'Financial Statements'!B68/('Financial Statements'!B28/1000)</f>
        <v>3.1037952827971451</v>
      </c>
      <c r="D43" s="25">
        <f>'Financial Statements'!C68/('Financial Statements'!C28/1000)</f>
        <v>3.740901453484597</v>
      </c>
      <c r="E43" s="25">
        <f>'Financial Statements'!D68/('Financial Statements'!D28/1000)</f>
        <v>3.7276473233382479</v>
      </c>
      <c r="F43" s="32"/>
    </row>
    <row r="44" spans="1:8" x14ac:dyDescent="0.3">
      <c r="A44" s="18">
        <f t="shared" si="4"/>
        <v>5.4999999999999982</v>
      </c>
      <c r="B44" s="1" t="s">
        <v>134</v>
      </c>
      <c r="C44" s="25">
        <f>-'Financial Statements'!B102/'Financial Statements'!B22</f>
        <v>0.14870294480125848</v>
      </c>
      <c r="D44" s="25">
        <f>-'Financial Statements'!C102/'Financial Statements'!C22</f>
        <v>0.15279890156316012</v>
      </c>
      <c r="E44" s="25">
        <f>-'Financial Statements'!D102/'Financial Statements'!D22</f>
        <v>0.24526658654264863</v>
      </c>
      <c r="F44" s="32"/>
    </row>
    <row r="45" spans="1:8" x14ac:dyDescent="0.3">
      <c r="A45" s="18"/>
      <c r="B45" s="3" t="s">
        <v>135</v>
      </c>
      <c r="C45" s="25">
        <f>-'Financial Statements'!B102/('Financial Statements'!B28/1000)</f>
        <v>0.90905087211857494</v>
      </c>
      <c r="D45" s="25">
        <f>-'Financial Statements'!C102/('Financial Statements'!C28/1000)</f>
        <v>0.85781615672153533</v>
      </c>
      <c r="E45" s="25">
        <f>-'Financial Statements'!D102/('Financial Statements'!D28/1000)</f>
        <v>0.80333341434558025</v>
      </c>
      <c r="F45" s="32"/>
    </row>
    <row r="46" spans="1:8" x14ac:dyDescent="0.3">
      <c r="A46" s="18">
        <f>+A44+0.1</f>
        <v>5.5999999999999979</v>
      </c>
      <c r="B46" s="1" t="s">
        <v>136</v>
      </c>
      <c r="C46" s="25">
        <f>C45/C53</f>
        <v>4.6817266937146575E-3</v>
      </c>
      <c r="D46" s="25">
        <f>D45/C53</f>
        <v>4.4178614447213027E-3</v>
      </c>
      <c r="E46" s="25">
        <f>E45/C53</f>
        <v>4.137268446956689E-3</v>
      </c>
      <c r="F46" s="32"/>
    </row>
    <row r="47" spans="1:8" x14ac:dyDescent="0.3">
      <c r="A47" s="18">
        <f t="shared" ref="A47:A50" si="5">+A45+0.1</f>
        <v>0.1</v>
      </c>
      <c r="B47" s="1" t="s">
        <v>137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  <c r="F47" s="32"/>
    </row>
    <row r="48" spans="1:8" x14ac:dyDescent="0.3">
      <c r="A48" s="18">
        <f t="shared" si="5"/>
        <v>5.6999999999999975</v>
      </c>
      <c r="B48" s="1" t="s">
        <v>138</v>
      </c>
      <c r="C48" s="25">
        <f>C21/('Financial Statements'!B68+'Financial Statements'!B59)</f>
        <v>0.79821026391589978</v>
      </c>
      <c r="D48" s="25">
        <f>D21/('Financial Statements'!C68+'Financial Statements'!C59)</f>
        <v>0.63270343097400639</v>
      </c>
      <c r="E48" s="25">
        <f>E21/('Financial Statements'!D68+'Financial Statements'!D59)</f>
        <v>0.40418033486579757</v>
      </c>
      <c r="F48" s="32"/>
    </row>
    <row r="49" spans="1:6" x14ac:dyDescent="0.3">
      <c r="A49" s="18">
        <f t="shared" si="5"/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  <c r="F49" s="32"/>
    </row>
    <row r="50" spans="1:6" x14ac:dyDescent="0.3">
      <c r="A50" s="18">
        <f t="shared" si="5"/>
        <v>5.7999999999999972</v>
      </c>
      <c r="B50" s="1" t="s">
        <v>139</v>
      </c>
      <c r="C50" s="25">
        <f>C51/C19</f>
        <v>24.945613065856701</v>
      </c>
      <c r="D50" s="25">
        <f t="shared" ref="D50:E50" si="6">D51/D19</f>
        <v>27.932766563505862</v>
      </c>
      <c r="E50" s="25">
        <f t="shared" si="6"/>
        <v>44.901702942438966</v>
      </c>
      <c r="F50" s="32"/>
    </row>
    <row r="51" spans="1:6" x14ac:dyDescent="0.3">
      <c r="A51" s="18"/>
      <c r="B51" s="3" t="s">
        <v>140</v>
      </c>
      <c r="C51" s="25">
        <f>(C53*'Financial Statements'!B28/1000)+'Financial Statements'!B59+'Financial Statements'!B55-'Financial Statements'!B36</f>
        <v>3256425.2752299998</v>
      </c>
      <c r="D51" s="25">
        <f>(C53*'Financial Statements'!C28/1000)+'Financial Statements'!C59+'Financial Statements'!C55-'Financial Statements'!C36</f>
        <v>3358440.32223</v>
      </c>
      <c r="E51" s="25">
        <f>(C53*'Financial Statements'!D28/1000)+'Financial Statements'!D59+'Financial Statements'!D55-'Financial Statements'!D36</f>
        <v>3472877.3123799996</v>
      </c>
      <c r="F51" s="32"/>
    </row>
    <row r="53" spans="1:6" x14ac:dyDescent="0.3">
      <c r="B53" s="1" t="s">
        <v>163</v>
      </c>
      <c r="C53">
        <v>194.17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2020-05-18T16:32:37Z</dcterms:created>
  <dcterms:modified xsi:type="dcterms:W3CDTF">2024-01-26T16:38:31Z</dcterms:modified>
</cp:coreProperties>
</file>