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d.docs.live.net/ec67192f548143de/Desktop/quil capital work/"/>
    </mc:Choice>
  </mc:AlternateContent>
  <xr:revisionPtr revIDLastSave="290" documentId="8_{704A160B-A83A-47EC-849F-D7B9280D656A}" xr6:coauthVersionLast="47" xr6:coauthVersionMax="47" xr10:uidLastSave="{FD341D9D-F6FD-457D-92C3-3CEE46F0A154}"/>
  <bookViews>
    <workbookView xWindow="-108" yWindow="-108" windowWidth="23256" windowHeight="12456" activeTab="2" xr2:uid="{00000000-000D-0000-FFFF-FFFF00000000}"/>
  </bookViews>
  <sheets>
    <sheet name="Instructions" sheetId="2" r:id="rId1"/>
    <sheet name="Financial Statements" sheetId="1" r:id="rId2"/>
    <sheet name="other calculation" sheetId="6" r:id="rId3"/>
    <sheet name="List of Ratios" sheetId="3" r:id="rId4"/>
    <sheet name="stock prices 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6" l="1"/>
  <c r="E5" i="6"/>
  <c r="C5" i="6"/>
  <c r="D4" i="6"/>
  <c r="E4" i="6"/>
  <c r="C4" i="6"/>
  <c r="D3" i="6"/>
  <c r="E3" i="6"/>
  <c r="C3" i="6"/>
  <c r="M69" i="1"/>
  <c r="L69" i="1"/>
  <c r="M56" i="1"/>
  <c r="M59" i="1"/>
  <c r="M60" i="1"/>
  <c r="M61" i="1"/>
  <c r="M62" i="1"/>
  <c r="M65" i="1"/>
  <c r="M66" i="1"/>
  <c r="M67" i="1"/>
  <c r="M68" i="1"/>
  <c r="L56" i="1"/>
  <c r="L59" i="1"/>
  <c r="L60" i="1"/>
  <c r="L61" i="1"/>
  <c r="L62" i="1"/>
  <c r="L65" i="1"/>
  <c r="L66" i="1"/>
  <c r="L67" i="1"/>
  <c r="L68" i="1"/>
  <c r="M51" i="1"/>
  <c r="M52" i="1"/>
  <c r="M53" i="1"/>
  <c r="M54" i="1"/>
  <c r="M55" i="1"/>
  <c r="L51" i="1"/>
  <c r="L52" i="1"/>
  <c r="L53" i="1"/>
  <c r="L54" i="1"/>
  <c r="L55" i="1"/>
  <c r="M37" i="1"/>
  <c r="M38" i="1"/>
  <c r="M39" i="1"/>
  <c r="M40" i="1"/>
  <c r="M41" i="1"/>
  <c r="M42" i="1"/>
  <c r="M44" i="1"/>
  <c r="M45" i="1"/>
  <c r="M46" i="1"/>
  <c r="M47" i="1"/>
  <c r="M48" i="1"/>
  <c r="L37" i="1"/>
  <c r="L38" i="1"/>
  <c r="L39" i="1"/>
  <c r="L40" i="1"/>
  <c r="L41" i="1"/>
  <c r="L42" i="1"/>
  <c r="L44" i="1"/>
  <c r="L45" i="1"/>
  <c r="L46" i="1"/>
  <c r="L47" i="1"/>
  <c r="L48" i="1"/>
  <c r="M36" i="1"/>
  <c r="L36" i="1"/>
  <c r="L16" i="1"/>
  <c r="M16" i="1"/>
  <c r="L17" i="1"/>
  <c r="M17" i="1"/>
  <c r="L18" i="1"/>
  <c r="M18" i="1"/>
  <c r="L19" i="1"/>
  <c r="M19" i="1"/>
  <c r="L20" i="1"/>
  <c r="M20" i="1"/>
  <c r="L21" i="1"/>
  <c r="M21" i="1"/>
  <c r="L22" i="1"/>
  <c r="M22" i="1"/>
  <c r="M15" i="1"/>
  <c r="L15" i="1"/>
  <c r="L11" i="1"/>
  <c r="M11" i="1"/>
  <c r="L12" i="1"/>
  <c r="M12" i="1"/>
  <c r="L13" i="1"/>
  <c r="M13" i="1"/>
  <c r="M10" i="1"/>
  <c r="L10" i="1"/>
  <c r="M6" i="1"/>
  <c r="M7" i="1"/>
  <c r="L7" i="1"/>
  <c r="L6" i="1"/>
  <c r="D51" i="3"/>
  <c r="E51" i="3"/>
  <c r="C51" i="3"/>
  <c r="D45" i="3"/>
  <c r="D46" i="3" s="1"/>
  <c r="E45" i="3"/>
  <c r="E46" i="3" s="1"/>
  <c r="C45" i="3"/>
  <c r="C46" i="3" s="1"/>
  <c r="D43" i="3"/>
  <c r="D42" i="3" s="1"/>
  <c r="E13" i="3"/>
  <c r="D40" i="3"/>
  <c r="E40" i="3"/>
  <c r="C40" i="3"/>
  <c r="C3" i="4"/>
  <c r="B3" i="4"/>
  <c r="A3" i="4"/>
  <c r="C36" i="3"/>
  <c r="B8" i="1"/>
  <c r="L8" i="1" s="1"/>
  <c r="C8" i="1"/>
  <c r="D8" i="1"/>
  <c r="E11" i="3" s="1"/>
  <c r="B12" i="1"/>
  <c r="C9" i="3" s="1"/>
  <c r="C12" i="1"/>
  <c r="D10" i="3" s="1"/>
  <c r="D12" i="1"/>
  <c r="E10" i="3" s="1"/>
  <c r="E12" i="3" s="1"/>
  <c r="D13" i="1"/>
  <c r="D18" i="1" s="1"/>
  <c r="B17" i="1"/>
  <c r="C17" i="1"/>
  <c r="D17" i="1"/>
  <c r="B33" i="1"/>
  <c r="B73" i="1" s="1"/>
  <c r="C33" i="1"/>
  <c r="D33" i="1"/>
  <c r="B42" i="1"/>
  <c r="C13" i="3" s="1"/>
  <c r="C42" i="1"/>
  <c r="D14" i="3" s="1"/>
  <c r="D42" i="1"/>
  <c r="E14" i="3" s="1"/>
  <c r="B47" i="1"/>
  <c r="B48" i="1" s="1"/>
  <c r="C47" i="1"/>
  <c r="D47" i="1"/>
  <c r="D48" i="1" s="1"/>
  <c r="B56" i="1"/>
  <c r="C7" i="3" s="1"/>
  <c r="C56" i="1"/>
  <c r="D56" i="1"/>
  <c r="B61" i="1"/>
  <c r="C61" i="1"/>
  <c r="C62" i="1" s="1"/>
  <c r="D61" i="1"/>
  <c r="D62" i="1"/>
  <c r="D69" i="1" s="1"/>
  <c r="B68" i="1"/>
  <c r="C43" i="3" s="1"/>
  <c r="C42" i="3" s="1"/>
  <c r="C68" i="1"/>
  <c r="D68" i="1"/>
  <c r="E43" i="3" s="1"/>
  <c r="E42" i="3" s="1"/>
  <c r="C73" i="1"/>
  <c r="D73" i="1"/>
  <c r="B99" i="1"/>
  <c r="C99" i="1"/>
  <c r="D99" i="1"/>
  <c r="B108" i="1"/>
  <c r="C108" i="1"/>
  <c r="D108" i="1"/>
  <c r="E27" i="3"/>
  <c r="C27" i="3"/>
  <c r="D17" i="3"/>
  <c r="E17" i="3"/>
  <c r="E8" i="3"/>
  <c r="C8" i="3"/>
  <c r="D7" i="3"/>
  <c r="E7" i="3"/>
  <c r="D6" i="3"/>
  <c r="E6" i="3"/>
  <c r="E5" i="3"/>
  <c r="D20" i="1" l="1"/>
  <c r="E28" i="3"/>
  <c r="E29" i="3"/>
  <c r="D25" i="3"/>
  <c r="C69" i="1"/>
  <c r="C12" i="3"/>
  <c r="C35" i="3"/>
  <c r="C11" i="3"/>
  <c r="D5" i="3"/>
  <c r="C17" i="3"/>
  <c r="E26" i="3"/>
  <c r="D27" i="3"/>
  <c r="C13" i="1"/>
  <c r="C18" i="1" s="1"/>
  <c r="D35" i="3"/>
  <c r="C10" i="3"/>
  <c r="D13" i="3"/>
  <c r="M8" i="1"/>
  <c r="C6" i="3"/>
  <c r="D8" i="3"/>
  <c r="E25" i="3"/>
  <c r="B62" i="1"/>
  <c r="C48" i="1"/>
  <c r="D34" i="3" s="1"/>
  <c r="B13" i="1"/>
  <c r="C34" i="3"/>
  <c r="D11" i="3"/>
  <c r="C14" i="3"/>
  <c r="D9" i="3"/>
  <c r="D12" i="3" s="1"/>
  <c r="C5" i="3"/>
  <c r="D36" i="3"/>
  <c r="E50" i="3"/>
  <c r="E3" i="3"/>
  <c r="D3" i="3"/>
  <c r="C3" i="3"/>
  <c r="C20" i="1" l="1"/>
  <c r="D28" i="3"/>
  <c r="D29" i="3"/>
  <c r="B69" i="1"/>
  <c r="C26" i="3"/>
  <c r="C25" i="3"/>
  <c r="D22" i="1"/>
  <c r="E18" i="3"/>
  <c r="E48" i="3"/>
  <c r="E20" i="3"/>
  <c r="E21" i="3"/>
  <c r="B18" i="1"/>
  <c r="D26" i="3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D76" i="1" l="1"/>
  <c r="D91" i="1" s="1"/>
  <c r="E22" i="3"/>
  <c r="E19" i="3"/>
  <c r="E47" i="3"/>
  <c r="E44" i="3"/>
  <c r="E41" i="3"/>
  <c r="E49" i="3"/>
  <c r="C28" i="3"/>
  <c r="B20" i="1"/>
  <c r="C29" i="3"/>
  <c r="C22" i="1"/>
  <c r="D18" i="3"/>
  <c r="D48" i="3"/>
  <c r="D20" i="3"/>
  <c r="D21" i="3"/>
  <c r="D50" i="3"/>
  <c r="A24" i="3"/>
  <c r="A25" i="3" s="1"/>
  <c r="A26" i="3" s="1"/>
  <c r="A27" i="3" s="1"/>
  <c r="A28" i="3" s="1"/>
  <c r="A29" i="3" s="1"/>
  <c r="A30" i="3" s="1"/>
  <c r="A33" i="3"/>
  <c r="C76" i="1" l="1"/>
  <c r="C91" i="1" s="1"/>
  <c r="D47" i="3"/>
  <c r="D44" i="3"/>
  <c r="D22" i="3"/>
  <c r="D41" i="3"/>
  <c r="D49" i="3"/>
  <c r="D37" i="3"/>
  <c r="D19" i="3"/>
  <c r="B22" i="1"/>
  <c r="C21" i="3"/>
  <c r="C48" i="3"/>
  <c r="C20" i="3"/>
  <c r="C18" i="3"/>
  <c r="C50" i="3"/>
  <c r="D109" i="1"/>
  <c r="E30" i="3"/>
  <c r="A39" i="3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  <c r="B76" i="1" l="1"/>
  <c r="B91" i="1" s="1"/>
  <c r="C49" i="3"/>
  <c r="C19" i="3"/>
  <c r="C37" i="3"/>
  <c r="C22" i="3"/>
  <c r="C47" i="3"/>
  <c r="C44" i="3"/>
  <c r="C41" i="3"/>
  <c r="C109" i="1"/>
  <c r="D30" i="3"/>
  <c r="B109" i="1" l="1"/>
  <c r="C30" i="3"/>
</calcChain>
</file>

<file path=xl/sharedStrings.xml><?xml version="1.0" encoding="utf-8"?>
<sst xmlns="http://schemas.openxmlformats.org/spreadsheetml/2006/main" count="187" uniqueCount="153">
  <si>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</si>
  <si>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</si>
  <si>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</si>
  <si>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</si>
  <si>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</si>
  <si>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</si>
  <si>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</si>
  <si>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</si>
  <si>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</si>
  <si>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</si>
  <si>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</si>
  <si>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</si>
  <si>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</si>
  <si>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</si>
  <si>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</si>
  <si>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</si>
  <si>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</si>
  <si>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</si>
  <si>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</si>
  <si>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</si>
  <si>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</si>
  <si>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</si>
  <si>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</si>
  <si>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</si>
  <si>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</si>
  <si>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</si>
  <si>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</si>
  <si>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</si>
  <si>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</si>
  <si>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</si>
  <si>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</si>
  <si>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</si>
  <si>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</si>
  <si>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</si>
  <si>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</si>
  <si>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</si>
  <si>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</si>
  <si>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</si>
  <si>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</si>
  <si>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</si>
  <si>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</si>
  <si>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</si>
  <si>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</si>
  <si>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</si>
  <si>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</si>
  <si>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</si>
  <si>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</si>
  <si>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</si>
  <si>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</si>
  <si>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</si>
  <si>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</si>
  <si>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</si>
  <si>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</si>
  <si>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</si>
  <si>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</si>
  <si>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</si>
  <si>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</si>
  <si>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</si>
  <si>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</si>
  <si>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</si>
  <si>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</si>
  <si>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</si>
  <si>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</si>
  <si>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</si>
  <si>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</si>
  <si>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</si>
  <si>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</si>
  <si>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</si>
  <si>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</si>
  <si>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</si>
  <si>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</si>
  <si>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</si>
  <si>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</si>
  <si>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</si>
  <si>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</si>
  <si>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</si>
  <si>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</si>
  <si>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</si>
  <si>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</si>
  <si>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</si>
  <si>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</si>
  <si>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</si>
  <si>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</si>
  <si>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</si>
  <si>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</si>
  <si>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</si>
  <si>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</si>
  <si>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</si>
  <si>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</si>
  <si>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</si>
  <si>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</si>
  <si>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</si>
  <si>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</si>
  <si>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</si>
  <si>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</si>
  <si>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</si>
  <si>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</si>
  <si>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</si>
  <si>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</si>
  <si>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</si>
  <si>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</si>
  <si>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</si>
  <si>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</si>
  <si>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</si>
  <si>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</si>
  <si>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</si>
  <si>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</si>
  <si>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</si>
  <si>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</si>
  <si>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</si>
  <si>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</si>
  <si>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</si>
  <si>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</si>
  <si>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</si>
  <si>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</si>
  <si>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</si>
  <si>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</si>
  <si>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</si>
  <si>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</si>
  <si>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</si>
  <si>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</si>
  <si>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</si>
  <si>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</si>
  <si>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</si>
  <si>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</si>
  <si>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</si>
  <si>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</si>
  <si>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</si>
  <si>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</si>
  <si>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</si>
  <si>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</si>
  <si>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</si>
  <si>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</si>
  <si>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</si>
  <si>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</si>
  <si>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</si>
  <si>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</si>
  <si>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</si>
  <si>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</si>
  <si>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</si>
  <si>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</si>
  <si>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</si>
  <si>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</si>
  <si>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</si>
  <si>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</si>
  <si>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</si>
  <si>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</si>
  <si>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</si>
  <si>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</si>
  <si>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</si>
  <si>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 xml:space="preserve"> </t>
  </si>
  <si>
    <t>stock prices in each end year</t>
  </si>
  <si>
    <t>growth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</si>
</sst>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4" fontId="0" fillId="0" borderId="0" xfId="1" applyNumberFormat="1" applyFont="1"/>
    <xf numFmtId="164" fontId="2" fillId="0" borderId="1" xfId="1" applyNumberFormat="1" applyFont="1" applyBorder="1"/>
    <xf numFmtId="164" fontId="2" fillId="0" borderId="2" xfId="1" applyNumberFormat="1" applyFont="1" applyBorder="1"/>
    <xf numFmtId="164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5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4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2" fontId="0" fillId="0" borderId="0" xfId="0" applyNumberFormat="1"/>
    <xf numFmtId="2" fontId="2" fillId="0" borderId="0" xfId="0" applyNumberFormat="1" applyFont="1"/>
    <xf numFmtId="164" fontId="0" fillId="0" borderId="0" xfId="0" applyNumberFormat="1"/>
    <xf numFmtId="0" fontId="0" fillId="5" borderId="0" xfId="0" applyFill="1"/>
    <xf numFmtId="0" fontId="0" fillId="6" borderId="0" xfId="0" applyFill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2" fontId="2" fillId="0" borderId="0" xfId="0" applyNumberFormat="1" applyFont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topLeftCell="A15" workbookViewId="0">
      <selection activeCell="A21" sqref="A21:A24"/>
    </sheetView>
  </sheetViews>
  <sheetFormatPr defaultRowHeight="14.4" x14ac:dyDescent="0.3"/>
  <cols>
    <col min="1" max="1" width="104.5546875" customWidth="1"/>
  </cols>
  <sheetData>
    <row r="1" spans="1:1" ht="23.4" x14ac:dyDescent="0.45">
      <c r="A1" s="5" t="s">
        <v>87</v>
      </c>
    </row>
    <row r="3" spans="1:1" x14ac:dyDescent="0.3">
      <c r="A3" s="7" t="s">
        <v>141</v>
      </c>
    </row>
    <row r="4" spans="1:1" x14ac:dyDescent="0.3">
      <c r="A4" s="16" t="s">
        <v>88</v>
      </c>
    </row>
    <row r="5" spans="1:1" x14ac:dyDescent="0.3">
      <c r="A5" s="7" t="s">
        <v>97</v>
      </c>
    </row>
    <row r="6" spans="1:1" x14ac:dyDescent="0.3">
      <c r="A6" s="1" t="s">
        <v>148</v>
      </c>
    </row>
    <row r="7" spans="1:1" x14ac:dyDescent="0.3">
      <c r="A7" s="1"/>
    </row>
    <row r="8" spans="1:1" x14ac:dyDescent="0.3">
      <c r="A8" s="17" t="s">
        <v>149</v>
      </c>
    </row>
    <row r="9" spans="1:1" x14ac:dyDescent="0.3">
      <c r="A9" s="1" t="s">
        <v>145</v>
      </c>
    </row>
    <row r="10" spans="1:1" x14ac:dyDescent="0.3">
      <c r="A10" s="1" t="s">
        <v>89</v>
      </c>
    </row>
    <row r="11" spans="1:1" x14ac:dyDescent="0.3">
      <c r="A11" s="1" t="s">
        <v>90</v>
      </c>
    </row>
    <row r="12" spans="1:1" x14ac:dyDescent="0.3">
      <c r="A12" s="1" t="s">
        <v>91</v>
      </c>
    </row>
    <row r="13" spans="1:1" x14ac:dyDescent="0.3">
      <c r="A13" s="1"/>
    </row>
    <row r="14" spans="1:1" x14ac:dyDescent="0.3">
      <c r="A14" s="17" t="s">
        <v>92</v>
      </c>
    </row>
    <row r="15" spans="1:1" x14ac:dyDescent="0.3">
      <c r="A15" s="1" t="s">
        <v>146</v>
      </c>
    </row>
    <row r="16" spans="1:1" x14ac:dyDescent="0.3">
      <c r="A16" s="1" t="s">
        <v>89</v>
      </c>
    </row>
    <row r="17" spans="1:1" x14ac:dyDescent="0.3">
      <c r="A17" s="1" t="s">
        <v>90</v>
      </c>
    </row>
    <row r="18" spans="1:1" x14ac:dyDescent="0.3">
      <c r="A18" s="1" t="s">
        <v>14</v>
      </c>
    </row>
    <row r="19" spans="1:1" x14ac:dyDescent="0.3">
      <c r="A19" s="1" t="s">
        <v>93</v>
      </c>
    </row>
    <row r="20" spans="1:1" x14ac:dyDescent="0.3">
      <c r="A20" s="1"/>
    </row>
    <row r="21" spans="1:1" x14ac:dyDescent="0.3">
      <c r="A21" s="17" t="s">
        <v>98</v>
      </c>
    </row>
    <row r="22" spans="1:1" x14ac:dyDescent="0.3">
      <c r="A22" s="1" t="s">
        <v>94</v>
      </c>
    </row>
    <row r="23" spans="1:1" x14ac:dyDescent="0.3">
      <c r="A23" s="1" t="s">
        <v>95</v>
      </c>
    </row>
    <row r="24" spans="1:1" x14ac:dyDescent="0.3">
      <c r="A24" s="1" t="s">
        <v>96</v>
      </c>
    </row>
    <row r="25" spans="1:1" x14ac:dyDescent="0.3">
      <c r="A25" s="1"/>
    </row>
    <row r="26" spans="1:1" x14ac:dyDescent="0.3">
      <c r="A26" s="17" t="s">
        <v>144</v>
      </c>
    </row>
    <row r="27" spans="1:1" x14ac:dyDescent="0.3">
      <c r="A27" s="16" t="s">
        <v>143</v>
      </c>
    </row>
    <row r="29" spans="1:1" x14ac:dyDescent="0.3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14"/>
  <sheetViews>
    <sheetView topLeftCell="A41" workbookViewId="0">
      <selection activeCell="B3" sqref="B3:D4"/>
    </sheetView>
  </sheetViews>
  <sheetFormatPr defaultRowHeight="14.4" x14ac:dyDescent="0.3"/>
  <cols>
    <col min="1" max="1" width="59" customWidth="1"/>
    <col min="2" max="3" width="11.5546875" bestFit="1" customWidth="1"/>
    <col min="4" max="4" width="11.6640625" bestFit="1" customWidth="1"/>
    <col min="12" max="12" width="10.5546875" style="23" bestFit="1" customWidth="1"/>
  </cols>
  <sheetData>
    <row r="1" spans="1:14" ht="60" customHeight="1" x14ac:dyDescent="0.3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  <c r="L1" s="23" t="s">
        <v>152</v>
      </c>
    </row>
    <row r="2" spans="1:14" x14ac:dyDescent="0.3">
      <c r="A2" s="29" t="s">
        <v>1</v>
      </c>
      <c r="B2" s="29"/>
      <c r="C2" s="29"/>
      <c r="D2" s="29"/>
    </row>
    <row r="3" spans="1:14" x14ac:dyDescent="0.3">
      <c r="B3" s="28" t="s">
        <v>23</v>
      </c>
      <c r="C3" s="28"/>
      <c r="D3" s="28"/>
      <c r="L3" s="7">
        <v>2022</v>
      </c>
      <c r="M3" s="7">
        <v>2021</v>
      </c>
      <c r="N3" s="7">
        <v>2020</v>
      </c>
    </row>
    <row r="4" spans="1:14" x14ac:dyDescent="0.3">
      <c r="B4" s="7">
        <v>2022</v>
      </c>
      <c r="C4" s="7">
        <v>2021</v>
      </c>
      <c r="D4" s="7">
        <v>2020</v>
      </c>
    </row>
    <row r="5" spans="1:14" x14ac:dyDescent="0.3">
      <c r="A5" t="s">
        <v>3</v>
      </c>
    </row>
    <row r="6" spans="1:14" x14ac:dyDescent="0.3">
      <c r="A6" s="1" t="s">
        <v>4</v>
      </c>
      <c r="B6" s="12">
        <v>316199</v>
      </c>
      <c r="C6" s="12">
        <v>297392</v>
      </c>
      <c r="D6" s="12">
        <v>220747</v>
      </c>
      <c r="L6" s="23">
        <f>(B6-C6)/C6*100</f>
        <v>6.3239764351428418</v>
      </c>
      <c r="M6" s="23">
        <f>(C6-D6)/D6*100</f>
        <v>34.720743656765436</v>
      </c>
      <c r="N6" s="23"/>
    </row>
    <row r="7" spans="1:14" x14ac:dyDescent="0.3">
      <c r="A7" s="1" t="s">
        <v>5</v>
      </c>
      <c r="B7" s="12">
        <v>78129</v>
      </c>
      <c r="C7" s="12">
        <v>68425</v>
      </c>
      <c r="D7" s="12">
        <v>53768</v>
      </c>
      <c r="L7" s="23">
        <f t="shared" ref="L7:M8" si="0">(B7-C7)/C7*100</f>
        <v>14.181951041286078</v>
      </c>
      <c r="M7" s="23">
        <f t="shared" si="0"/>
        <v>27.259708376729652</v>
      </c>
    </row>
    <row r="8" spans="1:14" x14ac:dyDescent="0.3">
      <c r="A8" s="8" t="s">
        <v>6</v>
      </c>
      <c r="B8" s="13">
        <f>+B6+B7</f>
        <v>394328</v>
      </c>
      <c r="C8" s="13">
        <f t="shared" ref="C8:D8" si="1">+C6+C7</f>
        <v>365817</v>
      </c>
      <c r="D8" s="13">
        <f t="shared" si="1"/>
        <v>274515</v>
      </c>
      <c r="L8" s="23">
        <f t="shared" si="0"/>
        <v>7.7937876041846055</v>
      </c>
      <c r="M8" s="23">
        <f t="shared" si="0"/>
        <v>33.25938473307469</v>
      </c>
    </row>
    <row r="9" spans="1:14" x14ac:dyDescent="0.3">
      <c r="A9" t="s">
        <v>7</v>
      </c>
      <c r="B9" s="12"/>
      <c r="C9" s="12"/>
      <c r="D9" s="12"/>
    </row>
    <row r="10" spans="1:14" x14ac:dyDescent="0.3">
      <c r="A10" s="1" t="s">
        <v>4</v>
      </c>
      <c r="B10" s="12">
        <v>201471</v>
      </c>
      <c r="C10" s="12">
        <v>192266</v>
      </c>
      <c r="D10" s="12">
        <v>151286</v>
      </c>
      <c r="L10" s="23">
        <f>(B10-C10)/C10*100</f>
        <v>4.7876379599097083</v>
      </c>
      <c r="M10" s="23">
        <f>(C10-D10)/D10*100</f>
        <v>27.087767539626935</v>
      </c>
    </row>
    <row r="11" spans="1:14" x14ac:dyDescent="0.3">
      <c r="A11" s="1" t="s">
        <v>5</v>
      </c>
      <c r="B11" s="12">
        <v>22075</v>
      </c>
      <c r="C11" s="12">
        <v>20715</v>
      </c>
      <c r="D11" s="12">
        <v>18273</v>
      </c>
      <c r="L11" s="23">
        <f t="shared" ref="L11:L13" si="2">(B11-C11)/C11*100</f>
        <v>6.5652908520395847</v>
      </c>
      <c r="M11" s="23">
        <f t="shared" ref="M11:M13" si="3">(C11-D11)/D11*100</f>
        <v>13.363979642094895</v>
      </c>
    </row>
    <row r="12" spans="1:14" x14ac:dyDescent="0.3">
      <c r="A12" s="8" t="s">
        <v>8</v>
      </c>
      <c r="B12" s="13">
        <f>+B10+B11</f>
        <v>223546</v>
      </c>
      <c r="C12" s="13">
        <f t="shared" ref="C12:D12" si="4">+C10+C11</f>
        <v>212981</v>
      </c>
      <c r="D12" s="13">
        <f t="shared" si="4"/>
        <v>169559</v>
      </c>
      <c r="L12" s="23">
        <f t="shared" si="2"/>
        <v>4.9605363858747964</v>
      </c>
      <c r="M12" s="23">
        <f t="shared" si="3"/>
        <v>25.608785142634716</v>
      </c>
    </row>
    <row r="13" spans="1:14" x14ac:dyDescent="0.3">
      <c r="A13" s="8" t="s">
        <v>9</v>
      </c>
      <c r="B13" s="13">
        <f>+B8-B12</f>
        <v>170782</v>
      </c>
      <c r="C13" s="13">
        <f t="shared" ref="C13:D13" si="5">+C8-C12</f>
        <v>152836</v>
      </c>
      <c r="D13" s="13">
        <f t="shared" si="5"/>
        <v>104956</v>
      </c>
      <c r="L13" s="23">
        <f t="shared" si="2"/>
        <v>11.741997958596142</v>
      </c>
      <c r="M13" s="23">
        <f t="shared" si="3"/>
        <v>45.61911658218682</v>
      </c>
    </row>
    <row r="14" spans="1:14" x14ac:dyDescent="0.3">
      <c r="A14" t="s">
        <v>10</v>
      </c>
      <c r="B14" s="12"/>
      <c r="C14" s="12"/>
      <c r="D14" s="12"/>
    </row>
    <row r="15" spans="1:14" x14ac:dyDescent="0.3">
      <c r="A15" s="1" t="s">
        <v>11</v>
      </c>
      <c r="B15" s="12">
        <v>26251</v>
      </c>
      <c r="C15" s="12">
        <v>21914</v>
      </c>
      <c r="D15" s="12">
        <v>18752</v>
      </c>
      <c r="L15" s="23">
        <f>(B15-C15)/C15*100</f>
        <v>19.791001186456146</v>
      </c>
      <c r="M15" s="23">
        <f>(C15-D15)/D15*100</f>
        <v>16.862201365187712</v>
      </c>
    </row>
    <row r="16" spans="1:14" x14ac:dyDescent="0.3">
      <c r="A16" s="1" t="s">
        <v>12</v>
      </c>
      <c r="B16" s="12">
        <v>25094</v>
      </c>
      <c r="C16" s="12">
        <v>21973</v>
      </c>
      <c r="D16" s="12">
        <v>19916</v>
      </c>
      <c r="L16" s="23">
        <f t="shared" ref="L16:L22" si="6">(B16-C16)/C16*100</f>
        <v>14.203795567287125</v>
      </c>
      <c r="M16" s="23">
        <f t="shared" ref="M16:M22" si="7">(C16-D16)/D16*100</f>
        <v>10.328379192608958</v>
      </c>
    </row>
    <row r="17" spans="1:13" x14ac:dyDescent="0.3">
      <c r="A17" s="8" t="s">
        <v>13</v>
      </c>
      <c r="B17" s="13">
        <f>+B15+B16</f>
        <v>51345</v>
      </c>
      <c r="C17" s="13">
        <f t="shared" ref="C17" si="8">+C15+C16</f>
        <v>43887</v>
      </c>
      <c r="D17" s="13">
        <f t="shared" ref="D17" si="9">+D15+D16</f>
        <v>38668</v>
      </c>
      <c r="L17" s="23">
        <f t="shared" si="6"/>
        <v>16.993642764372137</v>
      </c>
      <c r="M17" s="23">
        <f t="shared" si="7"/>
        <v>13.496948381090307</v>
      </c>
    </row>
    <row r="18" spans="1:13" s="7" customFormat="1" x14ac:dyDescent="0.3">
      <c r="A18" s="8" t="s">
        <v>14</v>
      </c>
      <c r="B18" s="13">
        <f>+B13-B17</f>
        <v>119437</v>
      </c>
      <c r="C18" s="13">
        <f t="shared" ref="C18:D18" si="10">+C13-C17</f>
        <v>108949</v>
      </c>
      <c r="D18" s="13">
        <f t="shared" si="10"/>
        <v>66288</v>
      </c>
      <c r="L18" s="23">
        <f t="shared" si="6"/>
        <v>9.6265225013538451</v>
      </c>
      <c r="M18" s="23">
        <f t="shared" si="7"/>
        <v>64.357048032826455</v>
      </c>
    </row>
    <row r="19" spans="1:13" x14ac:dyDescent="0.3">
      <c r="A19" t="s">
        <v>15</v>
      </c>
      <c r="B19" s="12">
        <v>-334</v>
      </c>
      <c r="C19" s="12">
        <v>258</v>
      </c>
      <c r="D19" s="12">
        <v>803</v>
      </c>
      <c r="L19" s="23">
        <f t="shared" si="6"/>
        <v>-229.45736434108528</v>
      </c>
      <c r="M19" s="23">
        <f t="shared" si="7"/>
        <v>-67.870485678704867</v>
      </c>
    </row>
    <row r="20" spans="1:13" x14ac:dyDescent="0.3">
      <c r="A20" s="8" t="s">
        <v>16</v>
      </c>
      <c r="B20" s="13">
        <f>+B18+B19</f>
        <v>119103</v>
      </c>
      <c r="C20" s="13">
        <f t="shared" ref="C20:D20" si="11">+C18+C19</f>
        <v>109207</v>
      </c>
      <c r="D20" s="13">
        <f t="shared" si="11"/>
        <v>67091</v>
      </c>
      <c r="L20" s="23">
        <f t="shared" si="6"/>
        <v>9.0616901846951201</v>
      </c>
      <c r="M20" s="23">
        <f t="shared" si="7"/>
        <v>62.774440685039721</v>
      </c>
    </row>
    <row r="21" spans="1:13" x14ac:dyDescent="0.3">
      <c r="A21" t="s">
        <v>17</v>
      </c>
      <c r="B21" s="12">
        <v>19300</v>
      </c>
      <c r="C21" s="12">
        <v>14527</v>
      </c>
      <c r="D21" s="12">
        <v>9680</v>
      </c>
      <c r="L21" s="23">
        <f t="shared" si="6"/>
        <v>32.856061127555584</v>
      </c>
      <c r="M21" s="23">
        <f t="shared" si="7"/>
        <v>50.072314049586772</v>
      </c>
    </row>
    <row r="22" spans="1:13" ht="15" thickBot="1" x14ac:dyDescent="0.35">
      <c r="A22" s="9" t="s">
        <v>18</v>
      </c>
      <c r="B22" s="14">
        <f>+B20-B21</f>
        <v>99803</v>
      </c>
      <c r="C22" s="14">
        <f t="shared" ref="C22:D22" si="12">+C20-C21</f>
        <v>94680</v>
      </c>
      <c r="D22" s="14">
        <f t="shared" si="12"/>
        <v>57411</v>
      </c>
      <c r="L22" s="23">
        <f t="shared" si="6"/>
        <v>5.4108576256865231</v>
      </c>
      <c r="M22" s="23">
        <f t="shared" si="7"/>
        <v>64.916131055024294</v>
      </c>
    </row>
    <row r="23" spans="1:13" ht="15" thickTop="1" x14ac:dyDescent="0.3">
      <c r="A23" t="s">
        <v>19</v>
      </c>
    </row>
    <row r="24" spans="1:13" x14ac:dyDescent="0.3">
      <c r="A24" s="1" t="s">
        <v>20</v>
      </c>
      <c r="B24" s="10">
        <v>6.15</v>
      </c>
      <c r="C24" s="10">
        <v>5.67</v>
      </c>
      <c r="D24" s="10">
        <v>3.31</v>
      </c>
    </row>
    <row r="25" spans="1:13" x14ac:dyDescent="0.3">
      <c r="A25" s="1" t="s">
        <v>21</v>
      </c>
      <c r="B25" s="10">
        <v>6.11</v>
      </c>
      <c r="C25" s="10">
        <v>5.61</v>
      </c>
      <c r="D25" s="10">
        <v>3.28</v>
      </c>
    </row>
    <row r="26" spans="1:13" x14ac:dyDescent="0.3">
      <c r="A26" t="s">
        <v>22</v>
      </c>
    </row>
    <row r="27" spans="1:13" x14ac:dyDescent="0.3">
      <c r="A27" s="1" t="s">
        <v>20</v>
      </c>
      <c r="B27" s="2">
        <v>16215963</v>
      </c>
      <c r="C27" s="2">
        <v>16701272</v>
      </c>
      <c r="D27" s="2">
        <v>17352119</v>
      </c>
    </row>
    <row r="28" spans="1:13" x14ac:dyDescent="0.3">
      <c r="A28" s="1" t="s">
        <v>21</v>
      </c>
      <c r="B28" s="2">
        <v>16325819</v>
      </c>
      <c r="C28" s="2">
        <v>16864919</v>
      </c>
      <c r="D28" s="2">
        <v>17528214</v>
      </c>
    </row>
    <row r="31" spans="1:13" x14ac:dyDescent="0.3">
      <c r="A31" s="29" t="s">
        <v>24</v>
      </c>
      <c r="B31" s="29"/>
      <c r="C31" s="29"/>
      <c r="D31" s="29"/>
    </row>
    <row r="32" spans="1:13" x14ac:dyDescent="0.3">
      <c r="B32" s="28" t="s">
        <v>142</v>
      </c>
      <c r="C32" s="28"/>
      <c r="D32" s="28"/>
    </row>
    <row r="33" spans="1:14" x14ac:dyDescent="0.3">
      <c r="B33" s="7">
        <f>+B4</f>
        <v>2022</v>
      </c>
      <c r="C33" s="7">
        <f t="shared" ref="C33:D33" si="13">+C4</f>
        <v>2021</v>
      </c>
      <c r="D33" s="7">
        <f t="shared" si="13"/>
        <v>2020</v>
      </c>
    </row>
    <row r="35" spans="1:14" x14ac:dyDescent="0.3">
      <c r="A35" t="s">
        <v>25</v>
      </c>
    </row>
    <row r="36" spans="1:14" x14ac:dyDescent="0.3">
      <c r="A36" s="1" t="s">
        <v>26</v>
      </c>
      <c r="B36" s="12">
        <v>23646</v>
      </c>
      <c r="C36" s="12">
        <v>34940</v>
      </c>
      <c r="D36" s="12">
        <v>38016</v>
      </c>
      <c r="L36" s="23">
        <f>(B36-C36)/C36*100</f>
        <v>-32.323983972524331</v>
      </c>
      <c r="M36" s="23">
        <f>(C36-D36)/D36*100</f>
        <v>-8.0913299663299654</v>
      </c>
      <c r="N36" s="23"/>
    </row>
    <row r="37" spans="1:14" x14ac:dyDescent="0.3">
      <c r="A37" s="1" t="s">
        <v>27</v>
      </c>
      <c r="B37" s="12">
        <v>24658</v>
      </c>
      <c r="C37" s="12">
        <v>27699</v>
      </c>
      <c r="D37" s="12">
        <v>52927</v>
      </c>
      <c r="L37" s="23">
        <f t="shared" ref="L37:L69" si="14">(B37-C37)/C37*100</f>
        <v>-10.978735694429401</v>
      </c>
      <c r="M37" s="23">
        <f t="shared" ref="M37:M69" si="15">(C37-D37)/D37*100</f>
        <v>-47.665652691442936</v>
      </c>
    </row>
    <row r="38" spans="1:14" x14ac:dyDescent="0.3">
      <c r="A38" s="1" t="s">
        <v>28</v>
      </c>
      <c r="B38" s="12">
        <v>28184</v>
      </c>
      <c r="C38" s="12">
        <v>26278</v>
      </c>
      <c r="D38" s="12">
        <v>16120</v>
      </c>
      <c r="L38" s="23">
        <f t="shared" si="14"/>
        <v>7.2532156176269122</v>
      </c>
      <c r="M38" s="23">
        <f t="shared" si="15"/>
        <v>63.014888337468975</v>
      </c>
    </row>
    <row r="39" spans="1:14" x14ac:dyDescent="0.3">
      <c r="A39" s="1" t="s">
        <v>29</v>
      </c>
      <c r="B39" s="12">
        <v>4946</v>
      </c>
      <c r="C39" s="12">
        <v>6580</v>
      </c>
      <c r="D39" s="12">
        <v>4061</v>
      </c>
      <c r="L39" s="23">
        <f t="shared" si="14"/>
        <v>-24.832826747720365</v>
      </c>
      <c r="M39" s="23">
        <f t="shared" si="15"/>
        <v>62.029056882541248</v>
      </c>
    </row>
    <row r="40" spans="1:14" x14ac:dyDescent="0.3">
      <c r="A40" s="1" t="s">
        <v>47</v>
      </c>
      <c r="B40" s="12">
        <v>32748</v>
      </c>
      <c r="C40" s="12">
        <v>25228</v>
      </c>
      <c r="D40" s="12">
        <v>21325</v>
      </c>
      <c r="L40" s="23">
        <f t="shared" si="14"/>
        <v>29.808149674964323</v>
      </c>
      <c r="M40" s="23">
        <f t="shared" si="15"/>
        <v>18.302461899179367</v>
      </c>
    </row>
    <row r="41" spans="1:14" x14ac:dyDescent="0.3">
      <c r="A41" s="1" t="s">
        <v>30</v>
      </c>
      <c r="B41" s="12">
        <v>21223</v>
      </c>
      <c r="C41" s="12">
        <v>14111</v>
      </c>
      <c r="D41" s="12">
        <v>11264</v>
      </c>
      <c r="L41" s="23">
        <f t="shared" si="14"/>
        <v>50.400396853518536</v>
      </c>
      <c r="M41" s="23">
        <f t="shared" si="15"/>
        <v>25.275213068181817</v>
      </c>
    </row>
    <row r="42" spans="1:14" x14ac:dyDescent="0.3">
      <c r="A42" s="8" t="s">
        <v>31</v>
      </c>
      <c r="B42" s="13">
        <f>+SUM(B36:B41)</f>
        <v>135405</v>
      </c>
      <c r="C42" s="13">
        <f t="shared" ref="C42:D42" si="16">+SUM(C36:C41)</f>
        <v>134836</v>
      </c>
      <c r="D42" s="13">
        <f t="shared" si="16"/>
        <v>143713</v>
      </c>
      <c r="L42" s="23">
        <f t="shared" si="14"/>
        <v>0.42199412619775128</v>
      </c>
      <c r="M42" s="23">
        <f t="shared" si="15"/>
        <v>-6.1768942266879128</v>
      </c>
    </row>
    <row r="43" spans="1:14" x14ac:dyDescent="0.3">
      <c r="A43" t="s">
        <v>48</v>
      </c>
      <c r="B43" s="12"/>
      <c r="C43" s="12"/>
      <c r="D43" s="12"/>
      <c r="M43" s="23"/>
    </row>
    <row r="44" spans="1:14" x14ac:dyDescent="0.3">
      <c r="A44" s="1" t="s">
        <v>27</v>
      </c>
      <c r="B44" s="12">
        <v>120805</v>
      </c>
      <c r="C44" s="12">
        <v>127877</v>
      </c>
      <c r="D44" s="12">
        <v>100887</v>
      </c>
      <c r="L44" s="23">
        <f t="shared" si="14"/>
        <v>-5.5303142863845727</v>
      </c>
      <c r="M44" s="23">
        <f t="shared" si="15"/>
        <v>26.752703519779551</v>
      </c>
    </row>
    <row r="45" spans="1:14" x14ac:dyDescent="0.3">
      <c r="A45" s="1" t="s">
        <v>32</v>
      </c>
      <c r="B45" s="12">
        <v>42117</v>
      </c>
      <c r="C45" s="12">
        <v>39440</v>
      </c>
      <c r="D45" s="12">
        <v>36766</v>
      </c>
      <c r="L45" s="23">
        <f t="shared" si="14"/>
        <v>6.7875253549695742</v>
      </c>
      <c r="M45" s="23">
        <f t="shared" si="15"/>
        <v>7.2730239895555675</v>
      </c>
    </row>
    <row r="46" spans="1:14" x14ac:dyDescent="0.3">
      <c r="A46" s="1" t="s">
        <v>49</v>
      </c>
      <c r="B46" s="12">
        <v>54428</v>
      </c>
      <c r="C46" s="12">
        <v>48849</v>
      </c>
      <c r="D46" s="12">
        <v>42522</v>
      </c>
      <c r="L46" s="23">
        <f t="shared" si="14"/>
        <v>11.420909332842024</v>
      </c>
      <c r="M46" s="23">
        <f t="shared" si="15"/>
        <v>14.87935656836461</v>
      </c>
    </row>
    <row r="47" spans="1:14" x14ac:dyDescent="0.3">
      <c r="A47" s="8" t="s">
        <v>50</v>
      </c>
      <c r="B47" s="13">
        <f>+SUM(B44:B46)</f>
        <v>217350</v>
      </c>
      <c r="C47" s="13">
        <f t="shared" ref="C47:D47" si="17">+SUM(C44:C46)</f>
        <v>216166</v>
      </c>
      <c r="D47" s="13">
        <f t="shared" si="17"/>
        <v>180175</v>
      </c>
      <c r="L47" s="23">
        <f t="shared" si="14"/>
        <v>0.54772720964443988</v>
      </c>
      <c r="M47" s="23">
        <f t="shared" si="15"/>
        <v>19.975579297904815</v>
      </c>
    </row>
    <row r="48" spans="1:14" ht="15" thickBot="1" x14ac:dyDescent="0.35">
      <c r="A48" s="9" t="s">
        <v>33</v>
      </c>
      <c r="B48" s="14">
        <f>+B42+B47</f>
        <v>352755</v>
      </c>
      <c r="C48" s="14">
        <f t="shared" ref="C48:D48" si="18">+C42+C47</f>
        <v>351002</v>
      </c>
      <c r="D48" s="14">
        <f t="shared" si="18"/>
        <v>323888</v>
      </c>
      <c r="I48" s="25"/>
      <c r="L48" s="23">
        <f t="shared" si="14"/>
        <v>0.49942735369029234</v>
      </c>
      <c r="M48" s="23">
        <f t="shared" si="15"/>
        <v>8.3714123400681704</v>
      </c>
    </row>
    <row r="49" spans="1:13" ht="15" thickTop="1" x14ac:dyDescent="0.3">
      <c r="M49" s="23"/>
    </row>
    <row r="50" spans="1:13" x14ac:dyDescent="0.3">
      <c r="A50" t="s">
        <v>34</v>
      </c>
      <c r="M50" s="23"/>
    </row>
    <row r="51" spans="1:13" x14ac:dyDescent="0.3">
      <c r="A51" s="1" t="s">
        <v>35</v>
      </c>
      <c r="B51" s="12">
        <v>64115</v>
      </c>
      <c r="C51" s="12">
        <v>54763</v>
      </c>
      <c r="D51" s="12">
        <v>42296</v>
      </c>
      <c r="L51" s="23">
        <f t="shared" si="14"/>
        <v>17.077223672917846</v>
      </c>
      <c r="M51" s="23">
        <f t="shared" si="15"/>
        <v>29.475600529600911</v>
      </c>
    </row>
    <row r="52" spans="1:13" x14ac:dyDescent="0.3">
      <c r="A52" s="1" t="s">
        <v>36</v>
      </c>
      <c r="B52" s="12">
        <v>60845</v>
      </c>
      <c r="C52" s="12">
        <v>47493</v>
      </c>
      <c r="D52" s="12">
        <v>42684</v>
      </c>
      <c r="L52" s="23">
        <f t="shared" si="14"/>
        <v>28.113616743520097</v>
      </c>
      <c r="M52" s="23">
        <f t="shared" si="15"/>
        <v>11.26651672757942</v>
      </c>
    </row>
    <row r="53" spans="1:13" x14ac:dyDescent="0.3">
      <c r="A53" s="1" t="s">
        <v>37</v>
      </c>
      <c r="B53" s="12">
        <v>7912</v>
      </c>
      <c r="C53" s="12">
        <v>7612</v>
      </c>
      <c r="D53" s="12">
        <v>6643</v>
      </c>
      <c r="L53" s="23">
        <f t="shared" si="14"/>
        <v>3.9411455596426697</v>
      </c>
      <c r="M53" s="23">
        <f t="shared" si="15"/>
        <v>14.586783079933765</v>
      </c>
    </row>
    <row r="54" spans="1:13" x14ac:dyDescent="0.3">
      <c r="A54" s="1" t="s">
        <v>38</v>
      </c>
      <c r="B54" s="12">
        <v>9982</v>
      </c>
      <c r="C54" s="12">
        <v>6000</v>
      </c>
      <c r="D54" s="12">
        <v>4996</v>
      </c>
      <c r="L54" s="23">
        <f t="shared" si="14"/>
        <v>66.36666666666666</v>
      </c>
      <c r="M54" s="23">
        <f t="shared" si="15"/>
        <v>20.096076861489191</v>
      </c>
    </row>
    <row r="55" spans="1:13" x14ac:dyDescent="0.3">
      <c r="A55" s="1" t="s">
        <v>39</v>
      </c>
      <c r="B55" s="12">
        <v>11128</v>
      </c>
      <c r="C55" s="12">
        <v>9613</v>
      </c>
      <c r="D55" s="12">
        <v>8773</v>
      </c>
      <c r="L55" s="23">
        <f t="shared" si="14"/>
        <v>15.759908457297408</v>
      </c>
      <c r="M55" s="23">
        <f t="shared" si="15"/>
        <v>9.5748318705117974</v>
      </c>
    </row>
    <row r="56" spans="1:13" x14ac:dyDescent="0.3">
      <c r="A56" s="8" t="s">
        <v>40</v>
      </c>
      <c r="B56" s="13">
        <f>+SUM(B51:B55)</f>
        <v>153982</v>
      </c>
      <c r="C56" s="13">
        <f t="shared" ref="C56:D56" si="19">+SUM(C51:C55)</f>
        <v>125481</v>
      </c>
      <c r="D56" s="13">
        <f t="shared" si="19"/>
        <v>105392</v>
      </c>
      <c r="L56" s="23">
        <f t="shared" si="14"/>
        <v>22.713398841258837</v>
      </c>
      <c r="M56" s="23">
        <f t="shared" si="15"/>
        <v>19.061219067860939</v>
      </c>
    </row>
    <row r="57" spans="1:13" x14ac:dyDescent="0.3">
      <c r="A57" t="s">
        <v>51</v>
      </c>
      <c r="B57" s="12"/>
      <c r="C57" s="12"/>
      <c r="D57" s="12"/>
      <c r="M57" s="23"/>
    </row>
    <row r="58" spans="1:13" x14ac:dyDescent="0.3">
      <c r="A58" s="1" t="s">
        <v>37</v>
      </c>
      <c r="B58" s="12"/>
      <c r="C58" s="12"/>
      <c r="D58" s="12"/>
      <c r="M58" s="23"/>
    </row>
    <row r="59" spans="1:13" x14ac:dyDescent="0.3">
      <c r="A59" s="1" t="s">
        <v>39</v>
      </c>
      <c r="B59" s="12">
        <v>98959</v>
      </c>
      <c r="C59" s="12">
        <v>109106</v>
      </c>
      <c r="D59" s="12">
        <v>98667</v>
      </c>
      <c r="L59" s="23">
        <f t="shared" si="14"/>
        <v>-9.3001301486627685</v>
      </c>
      <c r="M59" s="23">
        <f t="shared" si="15"/>
        <v>10.58003182421681</v>
      </c>
    </row>
    <row r="60" spans="1:13" x14ac:dyDescent="0.3">
      <c r="A60" s="1" t="s">
        <v>52</v>
      </c>
      <c r="B60" s="12">
        <v>49142</v>
      </c>
      <c r="C60" s="12">
        <v>53325</v>
      </c>
      <c r="D60" s="12">
        <v>54490</v>
      </c>
      <c r="L60" s="23">
        <f t="shared" si="14"/>
        <v>-7.8443506797937168</v>
      </c>
      <c r="M60" s="23">
        <f t="shared" si="15"/>
        <v>-2.1380069737566525</v>
      </c>
    </row>
    <row r="61" spans="1:13" x14ac:dyDescent="0.3">
      <c r="A61" s="22" t="s">
        <v>53</v>
      </c>
      <c r="B61" s="21">
        <f>+B59+B60</f>
        <v>148101</v>
      </c>
      <c r="C61" s="21">
        <f t="shared" ref="C61:D61" si="20">+C59+C60</f>
        <v>162431</v>
      </c>
      <c r="D61" s="21">
        <f t="shared" si="20"/>
        <v>153157</v>
      </c>
      <c r="L61" s="23">
        <f t="shared" si="14"/>
        <v>-8.8222075835277742</v>
      </c>
      <c r="M61" s="23">
        <f t="shared" si="15"/>
        <v>6.0552243775994565</v>
      </c>
    </row>
    <row r="62" spans="1:13" x14ac:dyDescent="0.3">
      <c r="A62" s="8" t="s">
        <v>41</v>
      </c>
      <c r="B62" s="13">
        <f>+B56+B61</f>
        <v>302083</v>
      </c>
      <c r="C62" s="13">
        <f t="shared" ref="C62:D62" si="21">+C56+C61</f>
        <v>287912</v>
      </c>
      <c r="D62" s="13">
        <f t="shared" si="21"/>
        <v>258549</v>
      </c>
      <c r="L62" s="23">
        <f t="shared" si="14"/>
        <v>4.9219900525160467</v>
      </c>
      <c r="M62" s="23">
        <f t="shared" si="15"/>
        <v>11.356841449783213</v>
      </c>
    </row>
    <row r="63" spans="1:13" x14ac:dyDescent="0.3">
      <c r="B63" s="12"/>
      <c r="C63" s="12"/>
      <c r="D63" s="12"/>
      <c r="M63" s="23"/>
    </row>
    <row r="64" spans="1:13" x14ac:dyDescent="0.3">
      <c r="A64" t="s">
        <v>42</v>
      </c>
      <c r="B64" s="12"/>
      <c r="C64" s="12"/>
      <c r="D64" s="12"/>
      <c r="M64" s="23"/>
    </row>
    <row r="65" spans="1:13" x14ac:dyDescent="0.3">
      <c r="A65" s="1" t="s">
        <v>54</v>
      </c>
      <c r="B65" s="12">
        <v>64849</v>
      </c>
      <c r="C65" s="12">
        <v>57365</v>
      </c>
      <c r="D65" s="12">
        <v>50779</v>
      </c>
      <c r="L65" s="23">
        <f t="shared" si="14"/>
        <v>13.04628257648392</v>
      </c>
      <c r="M65" s="23">
        <f t="shared" si="15"/>
        <v>12.969928513755685</v>
      </c>
    </row>
    <row r="66" spans="1:13" x14ac:dyDescent="0.3">
      <c r="A66" s="1" t="s">
        <v>43</v>
      </c>
      <c r="B66" s="12">
        <v>-3068</v>
      </c>
      <c r="C66" s="12">
        <v>5562</v>
      </c>
      <c r="D66" s="12">
        <v>14966</v>
      </c>
      <c r="L66" s="23">
        <f t="shared" si="14"/>
        <v>-155.16001438331534</v>
      </c>
      <c r="M66" s="23">
        <f t="shared" si="15"/>
        <v>-62.835761058399044</v>
      </c>
    </row>
    <row r="67" spans="1:13" x14ac:dyDescent="0.3">
      <c r="A67" s="1" t="s">
        <v>44</v>
      </c>
      <c r="B67" s="12">
        <v>-11109</v>
      </c>
      <c r="C67" s="12">
        <v>163</v>
      </c>
      <c r="D67" s="12">
        <v>-406</v>
      </c>
      <c r="L67" s="23">
        <f t="shared" si="14"/>
        <v>-6915.3374233128834</v>
      </c>
      <c r="M67" s="23">
        <f t="shared" si="15"/>
        <v>-140.14778325123152</v>
      </c>
    </row>
    <row r="68" spans="1:13" x14ac:dyDescent="0.3">
      <c r="A68" s="8" t="s">
        <v>45</v>
      </c>
      <c r="B68" s="13">
        <f>+SUM(B65:B67)</f>
        <v>50672</v>
      </c>
      <c r="C68" s="13">
        <f t="shared" ref="C68:D68" si="22">+SUM(C65:C67)</f>
        <v>63090</v>
      </c>
      <c r="D68" s="13">
        <f t="shared" si="22"/>
        <v>65339</v>
      </c>
      <c r="L68" s="23">
        <f t="shared" si="14"/>
        <v>-19.682992550324933</v>
      </c>
      <c r="M68" s="23">
        <f t="shared" si="15"/>
        <v>-3.4420483937617661</v>
      </c>
    </row>
    <row r="69" spans="1:13" ht="15" thickBot="1" x14ac:dyDescent="0.35">
      <c r="A69" s="9" t="s">
        <v>46</v>
      </c>
      <c r="B69" s="14">
        <f>+B68+B62</f>
        <v>352755</v>
      </c>
      <c r="C69" s="14">
        <f t="shared" ref="C69:D69" si="23">+C68+C62</f>
        <v>351002</v>
      </c>
      <c r="D69" s="14">
        <f t="shared" si="23"/>
        <v>323888</v>
      </c>
      <c r="L69" s="23">
        <f t="shared" si="14"/>
        <v>0.49942735369029234</v>
      </c>
      <c r="M69" s="23">
        <f t="shared" si="15"/>
        <v>8.3714123400681704</v>
      </c>
    </row>
    <row r="70" spans="1:13" ht="15" thickTop="1" x14ac:dyDescent="0.3"/>
    <row r="71" spans="1:13" x14ac:dyDescent="0.3">
      <c r="A71" s="29" t="s">
        <v>55</v>
      </c>
      <c r="B71" s="29"/>
      <c r="C71" s="29"/>
      <c r="D71" s="29"/>
    </row>
    <row r="72" spans="1:13" x14ac:dyDescent="0.3">
      <c r="B72" s="28" t="s">
        <v>23</v>
      </c>
      <c r="C72" s="28"/>
      <c r="D72" s="28"/>
    </row>
    <row r="73" spans="1:13" x14ac:dyDescent="0.3">
      <c r="B73" s="7">
        <f>+B33</f>
        <v>2022</v>
      </c>
      <c r="C73" s="7">
        <f t="shared" ref="C73:D73" si="24">+C33</f>
        <v>2021</v>
      </c>
      <c r="D73" s="7">
        <f t="shared" si="24"/>
        <v>2020</v>
      </c>
    </row>
    <row r="75" spans="1:13" x14ac:dyDescent="0.3">
      <c r="A75" s="7" t="s">
        <v>56</v>
      </c>
      <c r="B75" s="15"/>
      <c r="C75" s="15"/>
      <c r="D75" s="15"/>
    </row>
    <row r="76" spans="1:13" x14ac:dyDescent="0.3">
      <c r="A76" t="s">
        <v>57</v>
      </c>
      <c r="B76" s="12">
        <f>+B22</f>
        <v>99803</v>
      </c>
      <c r="C76" s="12">
        <f t="shared" ref="C76:D76" si="25">+C22</f>
        <v>94680</v>
      </c>
      <c r="D76" s="12">
        <f t="shared" si="25"/>
        <v>57411</v>
      </c>
    </row>
    <row r="77" spans="1:13" x14ac:dyDescent="0.3">
      <c r="A77" s="11" t="s">
        <v>18</v>
      </c>
      <c r="B77" s="15"/>
      <c r="C77" s="15"/>
      <c r="D77" s="15"/>
    </row>
    <row r="78" spans="1:13" x14ac:dyDescent="0.3">
      <c r="A78" s="1" t="s">
        <v>58</v>
      </c>
      <c r="B78" s="12"/>
      <c r="C78" s="12"/>
      <c r="D78" s="12"/>
    </row>
    <row r="79" spans="1:13" x14ac:dyDescent="0.3">
      <c r="A79" s="3" t="s">
        <v>59</v>
      </c>
      <c r="B79" s="12">
        <v>11104</v>
      </c>
      <c r="C79" s="12">
        <v>11284</v>
      </c>
      <c r="D79" s="12">
        <v>11056</v>
      </c>
    </row>
    <row r="80" spans="1:13" x14ac:dyDescent="0.3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3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3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3">
      <c r="A83" t="s">
        <v>62</v>
      </c>
      <c r="B83" s="12"/>
      <c r="C83" s="12"/>
      <c r="D83" s="12"/>
    </row>
    <row r="84" spans="1:4" x14ac:dyDescent="0.3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3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3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3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3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3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3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3">
      <c r="A91" s="8" t="s">
        <v>63</v>
      </c>
      <c r="B91" s="13">
        <f>+SUM(B76:B90)</f>
        <v>122151</v>
      </c>
      <c r="C91" s="13">
        <f t="shared" ref="C91:D91" si="26">+SUM(C76:C90)</f>
        <v>104038</v>
      </c>
      <c r="D91" s="13">
        <f t="shared" si="26"/>
        <v>80674</v>
      </c>
    </row>
    <row r="92" spans="1:4" x14ac:dyDescent="0.3">
      <c r="A92" s="7" t="s">
        <v>64</v>
      </c>
      <c r="B92" s="12"/>
      <c r="C92" s="12"/>
      <c r="D92" s="12"/>
    </row>
    <row r="93" spans="1:4" x14ac:dyDescent="0.3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3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3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3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3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3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3">
      <c r="A99" s="8" t="s">
        <v>70</v>
      </c>
      <c r="B99" s="13">
        <f>+SUM(B93:B98)</f>
        <v>-22354</v>
      </c>
      <c r="C99" s="13">
        <f t="shared" ref="C99:D99" si="27">+SUM(C93:C98)</f>
        <v>-14545</v>
      </c>
      <c r="D99" s="13">
        <f t="shared" si="27"/>
        <v>-4289</v>
      </c>
    </row>
    <row r="100" spans="1:4" x14ac:dyDescent="0.3">
      <c r="A100" s="7" t="s">
        <v>71</v>
      </c>
      <c r="B100" s="12"/>
      <c r="C100" s="12"/>
      <c r="D100" s="12"/>
    </row>
    <row r="101" spans="1:4" x14ac:dyDescent="0.3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3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3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3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3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3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3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3">
      <c r="A108" s="8" t="s">
        <v>77</v>
      </c>
      <c r="B108" s="13">
        <f>+SUM(B101:B107)</f>
        <v>-110749</v>
      </c>
      <c r="C108" s="13">
        <f t="shared" ref="C108:D108" si="28">+SUM(C101:C107)</f>
        <v>-93353</v>
      </c>
      <c r="D108" s="13">
        <f t="shared" si="28"/>
        <v>-86820</v>
      </c>
    </row>
    <row r="109" spans="1:4" x14ac:dyDescent="0.3">
      <c r="A109" s="8" t="s">
        <v>78</v>
      </c>
      <c r="B109" s="13">
        <f>+B91+B99+B108</f>
        <v>-10952</v>
      </c>
      <c r="C109" s="13">
        <f t="shared" ref="C109:D109" si="29">+C91+C99+C108</f>
        <v>-3860</v>
      </c>
      <c r="D109" s="13">
        <f t="shared" si="29"/>
        <v>-10435</v>
      </c>
    </row>
    <row r="110" spans="1:4" ht="15" thickBot="1" x14ac:dyDescent="0.3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" thickTop="1" x14ac:dyDescent="0.3">
      <c r="B111" s="12"/>
      <c r="C111" s="12"/>
      <c r="D111" s="12"/>
    </row>
    <row r="112" spans="1:4" x14ac:dyDescent="0.3">
      <c r="A112" t="s">
        <v>80</v>
      </c>
      <c r="B112" s="12"/>
      <c r="C112" s="12"/>
      <c r="D112" s="12"/>
    </row>
    <row r="113" spans="1:4" x14ac:dyDescent="0.3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3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A6886-3DCC-428E-B8B7-EB321C9C59E3}">
  <dimension ref="B1:F5"/>
  <sheetViews>
    <sheetView tabSelected="1" workbookViewId="0">
      <selection activeCell="E8" sqref="E8"/>
    </sheetView>
  </sheetViews>
  <sheetFormatPr defaultRowHeight="14.4" x14ac:dyDescent="0.3"/>
  <cols>
    <col min="2" max="2" width="51.44140625" bestFit="1" customWidth="1"/>
    <col min="3" max="3" width="8.88671875" style="23"/>
  </cols>
  <sheetData>
    <row r="1" spans="2:6" x14ac:dyDescent="0.3">
      <c r="C1" s="28" t="s">
        <v>23</v>
      </c>
      <c r="D1" s="28"/>
      <c r="E1" s="28"/>
    </row>
    <row r="2" spans="2:6" x14ac:dyDescent="0.3">
      <c r="B2" s="17" t="s">
        <v>98</v>
      </c>
      <c r="C2" s="24">
        <v>2022</v>
      </c>
      <c r="D2" s="7">
        <v>2021</v>
      </c>
      <c r="E2" s="7">
        <v>2020</v>
      </c>
    </row>
    <row r="3" spans="2:6" x14ac:dyDescent="0.3">
      <c r="B3" s="1" t="s">
        <v>94</v>
      </c>
      <c r="C3" s="23">
        <f>'Financial Statements'!B21/'Financial Statements'!B20</f>
        <v>0.16204461684424407</v>
      </c>
      <c r="D3" s="23">
        <f>'Financial Statements'!C21/'Financial Statements'!C20</f>
        <v>0.13302260844085087</v>
      </c>
      <c r="E3" s="23">
        <f>'Financial Statements'!D21/'Financial Statements'!D20</f>
        <v>0.14428164731484103</v>
      </c>
    </row>
    <row r="4" spans="2:6" x14ac:dyDescent="0.3">
      <c r="B4" s="1" t="s">
        <v>95</v>
      </c>
      <c r="C4" s="23">
        <f>ABS('Financial Statements'!B96/'Financial Statements'!B8)</f>
        <v>2.7155058732831552E-2</v>
      </c>
      <c r="D4" s="23">
        <f>ABS('Financial Statements'!C96/'Financial Statements'!C8)</f>
        <v>3.0302036264033657E-2</v>
      </c>
      <c r="E4" s="23">
        <f>ABS('Financial Statements'!D96/'Financial Statements'!D8)</f>
        <v>2.6625138881299748E-2</v>
      </c>
      <c r="F4" t="s">
        <v>150</v>
      </c>
    </row>
    <row r="5" spans="2:6" x14ac:dyDescent="0.3">
      <c r="B5" s="1" t="s">
        <v>96</v>
      </c>
      <c r="C5" s="23">
        <f>ABS('Financial Statements'!B96/'Financial Statements'!B47)</f>
        <v>4.9266160570508394E-2</v>
      </c>
      <c r="D5" s="23">
        <f>ABS('Financial Statements'!C96/'Financial Statements'!C47)</f>
        <v>5.1280034788079534E-2</v>
      </c>
      <c r="E5" s="23">
        <f>ABS('Financial Statements'!D96/'Financial Statements'!D47)</f>
        <v>4.0566116275842931E-2</v>
      </c>
    </row>
  </sheetData>
  <mergeCells count="1">
    <mergeCell ref="C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3"/>
  <sheetViews>
    <sheetView topLeftCell="A36" workbookViewId="0">
      <selection activeCell="E51" sqref="E51"/>
    </sheetView>
  </sheetViews>
  <sheetFormatPr defaultRowHeight="14.4" x14ac:dyDescent="0.3"/>
  <cols>
    <col min="1" max="1" width="4.6640625" customWidth="1"/>
    <col min="2" max="2" width="44.88671875" customWidth="1"/>
    <col min="3" max="5" width="13.6640625" bestFit="1" customWidth="1"/>
  </cols>
  <sheetData>
    <row r="1" spans="1:10" ht="60" customHeight="1" x14ac:dyDescent="0.5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3">
      <c r="C2" s="30" t="s">
        <v>23</v>
      </c>
      <c r="D2" s="30"/>
      <c r="E2" s="30"/>
    </row>
    <row r="3" spans="1:10" x14ac:dyDescent="0.3">
      <c r="C3" s="24">
        <f>+'Financial Statements'!B4</f>
        <v>2022</v>
      </c>
      <c r="D3" s="24">
        <f>+'Financial Statements'!C4</f>
        <v>2021</v>
      </c>
      <c r="E3" s="24">
        <f>+'Financial Statements'!D4</f>
        <v>2020</v>
      </c>
    </row>
    <row r="4" spans="1:10" x14ac:dyDescent="0.3">
      <c r="A4" s="18">
        <v>1</v>
      </c>
      <c r="B4" s="7" t="s">
        <v>99</v>
      </c>
      <c r="C4" s="23"/>
      <c r="D4" s="23"/>
      <c r="E4" s="23"/>
    </row>
    <row r="5" spans="1:10" x14ac:dyDescent="0.3">
      <c r="A5" s="18">
        <f>+A4+0.1</f>
        <v>1.1000000000000001</v>
      </c>
      <c r="B5" s="1" t="s">
        <v>100</v>
      </c>
      <c r="C5" s="23">
        <f>'Financial Statements'!B42/'Financial Statements'!B56</f>
        <v>0.87935602862672257</v>
      </c>
      <c r="D5" s="23">
        <f>'Financial Statements'!C42/'Financial Statements'!C56</f>
        <v>1.0745531195957954</v>
      </c>
      <c r="E5" s="23">
        <f>'Financial Statements'!D42/'Financial Statements'!D56</f>
        <v>1.3636044481554577</v>
      </c>
      <c r="F5" t="s">
        <v>150</v>
      </c>
    </row>
    <row r="6" spans="1:10" x14ac:dyDescent="0.3">
      <c r="A6" s="18">
        <f t="shared" ref="A6:A13" si="0">+A5+0.1</f>
        <v>1.2000000000000002</v>
      </c>
      <c r="B6" s="1" t="s">
        <v>101</v>
      </c>
      <c r="C6" s="23">
        <f>('Financial Statements'!B42-'Financial Statements'!B39)/'Financial Statements'!B56</f>
        <v>0.84723539114961488</v>
      </c>
      <c r="D6" s="23">
        <f>('Financial Statements'!C42-'Financial Statements'!C39)/'Financial Statements'!C56</f>
        <v>1.0221149018576519</v>
      </c>
      <c r="E6" s="23">
        <f>('Financial Statements'!D42-'Financial Statements'!D39)/'Financial Statements'!D56</f>
        <v>1.325072111735236</v>
      </c>
    </row>
    <row r="7" spans="1:10" x14ac:dyDescent="0.3">
      <c r="A7" s="18">
        <f t="shared" si="0"/>
        <v>1.3000000000000003</v>
      </c>
      <c r="B7" s="1" t="s">
        <v>102</v>
      </c>
      <c r="C7" s="23">
        <f>'Financial Statements'!B36/'Financial Statements'!B56</f>
        <v>0.15356340351469652</v>
      </c>
      <c r="D7" s="23">
        <f>'Financial Statements'!C36/'Financial Statements'!C56</f>
        <v>0.27844853005634318</v>
      </c>
      <c r="E7" s="23">
        <f>'Financial Statements'!D36/'Financial Statements'!D56</f>
        <v>0.36071049035979963</v>
      </c>
    </row>
    <row r="8" spans="1:10" x14ac:dyDescent="0.3">
      <c r="A8" s="18">
        <f t="shared" si="0"/>
        <v>1.4000000000000004</v>
      </c>
      <c r="B8" s="1" t="s">
        <v>103</v>
      </c>
      <c r="C8" s="23">
        <f>'Financial Statements'!B42/('Financial Statements'!B17/365)</f>
        <v>962.56354075372474</v>
      </c>
      <c r="D8" s="23">
        <f>'Financial Statements'!C42/('Financial Statements'!C17/365)</f>
        <v>1121.4058832911796</v>
      </c>
      <c r="E8" s="23">
        <f>'Financial Statements'!D42/('Financial Statements'!D17/365)</f>
        <v>1356.5543860556534</v>
      </c>
    </row>
    <row r="9" spans="1:10" x14ac:dyDescent="0.3">
      <c r="A9" s="18">
        <f t="shared" si="0"/>
        <v>1.5000000000000004</v>
      </c>
      <c r="B9" s="1" t="s">
        <v>104</v>
      </c>
      <c r="C9" s="23">
        <f>((('Financial Statements'!C39+'Financial Statements'!B39)/2)/'Financial Statements'!B12)*365</f>
        <v>9.4096740715557434</v>
      </c>
      <c r="D9" s="23">
        <f>((('Financial Statements'!D39+'Financial Statements'!C39)/2)/'Financial Statements'!C12)*365</f>
        <v>9.1181020842234748</v>
      </c>
      <c r="E9" s="23"/>
    </row>
    <row r="10" spans="1:10" x14ac:dyDescent="0.3">
      <c r="A10" s="18">
        <f t="shared" si="0"/>
        <v>1.6000000000000005</v>
      </c>
      <c r="B10" s="1" t="s">
        <v>105</v>
      </c>
      <c r="C10" s="23">
        <f>('Financial Statements'!B51/'Financial Statements'!B12)*365</f>
        <v>104.68527730310539</v>
      </c>
      <c r="D10" s="23">
        <f>('Financial Statements'!C51/'Financial Statements'!C12)*365</f>
        <v>93.851071222315596</v>
      </c>
      <c r="E10" s="23">
        <f>('Financial Statements'!D51/'Financial Statements'!D12)*365</f>
        <v>91.048189715674198</v>
      </c>
      <c r="F10" t="s">
        <v>150</v>
      </c>
      <c r="G10" t="s">
        <v>150</v>
      </c>
    </row>
    <row r="11" spans="1:10" x14ac:dyDescent="0.3">
      <c r="A11" s="18">
        <f t="shared" si="0"/>
        <v>1.7000000000000006</v>
      </c>
      <c r="B11" s="1" t="s">
        <v>106</v>
      </c>
      <c r="C11" s="23">
        <f>('Financial Statements'!B38/'Financial Statements'!B8)*365</f>
        <v>26.087825363656648</v>
      </c>
      <c r="D11" s="23">
        <f>('Financial Statements'!C38/'Financial Statements'!C8)*365</f>
        <v>26.219311841713207</v>
      </c>
      <c r="E11" s="23">
        <f>('Financial Statements'!D38/'Financial Statements'!D8)*365</f>
        <v>21.433437152796749</v>
      </c>
    </row>
    <row r="12" spans="1:10" x14ac:dyDescent="0.3">
      <c r="A12" s="18">
        <f t="shared" si="0"/>
        <v>1.8000000000000007</v>
      </c>
      <c r="B12" s="1" t="s">
        <v>107</v>
      </c>
      <c r="C12" s="23">
        <f>C10-C9-C11</f>
        <v>69.187777867893004</v>
      </c>
      <c r="D12" s="23">
        <f t="shared" ref="D12:E12" si="1">D10-D9-D11</f>
        <v>58.513657296378909</v>
      </c>
      <c r="E12" s="23">
        <f t="shared" si="1"/>
        <v>69.614752562877442</v>
      </c>
    </row>
    <row r="13" spans="1:10" x14ac:dyDescent="0.3">
      <c r="A13" s="18">
        <f t="shared" si="0"/>
        <v>1.9000000000000008</v>
      </c>
      <c r="B13" s="1" t="s">
        <v>108</v>
      </c>
      <c r="C13" s="23">
        <f>(('Financial Statements'!B42-'Financial Statements'!B56)/'Financial Statements'!B8)*100</f>
        <v>-4.7110527276784806</v>
      </c>
      <c r="D13" s="23">
        <f>(('Financial Statements'!C42-'Financial Statements'!C56)/'Financial Statements'!C8)*100</f>
        <v>2.5572895737486232</v>
      </c>
      <c r="E13" s="23">
        <f>(('Financial Statements'!D42-'Financial Statements'!D56)/'Financial Statements'!D8)*100</f>
        <v>13.959528623208204</v>
      </c>
    </row>
    <row r="14" spans="1:10" x14ac:dyDescent="0.3">
      <c r="A14" s="18"/>
      <c r="B14" s="3" t="s">
        <v>109</v>
      </c>
      <c r="C14" s="23">
        <f>'Financial Statements'!B42-'Financial Statements'!B56</f>
        <v>-18577</v>
      </c>
      <c r="D14" s="23">
        <f>'Financial Statements'!C42-'Financial Statements'!C56</f>
        <v>9355</v>
      </c>
      <c r="E14" s="23">
        <f>'Financial Statements'!D42-'Financial Statements'!D56</f>
        <v>38321</v>
      </c>
    </row>
    <row r="15" spans="1:10" x14ac:dyDescent="0.3">
      <c r="A15" s="18"/>
      <c r="C15" s="23"/>
      <c r="D15" s="23"/>
      <c r="E15" s="23"/>
      <c r="F15" t="s">
        <v>150</v>
      </c>
    </row>
    <row r="16" spans="1:10" x14ac:dyDescent="0.3">
      <c r="A16" s="18">
        <f>+A4+1</f>
        <v>2</v>
      </c>
      <c r="B16" s="17" t="s">
        <v>110</v>
      </c>
      <c r="C16" s="23"/>
      <c r="D16" s="23"/>
      <c r="E16" s="23"/>
    </row>
    <row r="17" spans="1:11" x14ac:dyDescent="0.3">
      <c r="A17" s="18">
        <f>+A16+0.1</f>
        <v>2.1</v>
      </c>
      <c r="B17" s="1" t="s">
        <v>9</v>
      </c>
      <c r="C17" s="23">
        <f>('Financial Statements'!B8-'Financial Statements'!B12)/'Financial Statements'!B8</f>
        <v>0.43309630561360085</v>
      </c>
      <c r="D17" s="23">
        <f>('Financial Statements'!C8-'Financial Statements'!C12)/'Financial Statements'!C8</f>
        <v>0.41779359625167778</v>
      </c>
      <c r="E17" s="23">
        <f>('Financial Statements'!D8-'Financial Statements'!D12)/'Financial Statements'!D8</f>
        <v>0.38233247727810865</v>
      </c>
    </row>
    <row r="18" spans="1:11" x14ac:dyDescent="0.3">
      <c r="A18" s="18">
        <f>+A17+0.1</f>
        <v>2.2000000000000002</v>
      </c>
      <c r="B18" s="1" t="s">
        <v>111</v>
      </c>
      <c r="C18" s="23">
        <f>'Financial Statements'!B20/'Financial Statements'!B8*100</f>
        <v>30.204043334482968</v>
      </c>
      <c r="D18" s="23">
        <f>'Financial Statements'!C20/'Financial Statements'!C8*100</f>
        <v>29.85290459437369</v>
      </c>
      <c r="E18" s="23">
        <f>'Financial Statements'!D20/'Financial Statements'!D8*100</f>
        <v>24.439830246070343</v>
      </c>
      <c r="G18" t="s">
        <v>150</v>
      </c>
      <c r="K18" t="s">
        <v>150</v>
      </c>
    </row>
    <row r="19" spans="1:11" x14ac:dyDescent="0.3">
      <c r="A19" s="18"/>
      <c r="B19" s="3" t="s">
        <v>112</v>
      </c>
      <c r="C19" s="23">
        <f>'Financial Statements'!B22+'Financial Statements'!B21</f>
        <v>119103</v>
      </c>
      <c r="D19" s="23">
        <f>'Financial Statements'!C22+'Financial Statements'!C21</f>
        <v>109207</v>
      </c>
      <c r="E19" s="23">
        <f>'Financial Statements'!D22+'Financial Statements'!D21</f>
        <v>67091</v>
      </c>
    </row>
    <row r="20" spans="1:11" x14ac:dyDescent="0.3">
      <c r="A20" s="18">
        <f>+A18+0.1</f>
        <v>2.3000000000000003</v>
      </c>
      <c r="B20" s="1" t="s">
        <v>113</v>
      </c>
      <c r="C20" s="23">
        <f>'Financial Statements'!B20/'Financial Statements'!B8*100</f>
        <v>30.204043334482968</v>
      </c>
      <c r="D20" s="23">
        <f>'Financial Statements'!C20/'Financial Statements'!C8*100</f>
        <v>29.85290459437369</v>
      </c>
      <c r="E20" s="23">
        <f>'Financial Statements'!D20/'Financial Statements'!D8*100</f>
        <v>24.439830246070343</v>
      </c>
    </row>
    <row r="21" spans="1:11" x14ac:dyDescent="0.3">
      <c r="A21" s="18"/>
      <c r="B21" s="3" t="s">
        <v>114</v>
      </c>
      <c r="C21" s="23">
        <f>'Financial Statements'!B20</f>
        <v>119103</v>
      </c>
      <c r="D21" s="23">
        <f>'Financial Statements'!C20</f>
        <v>109207</v>
      </c>
      <c r="E21" s="23">
        <f>'Financial Statements'!D20</f>
        <v>67091</v>
      </c>
    </row>
    <row r="22" spans="1:11" x14ac:dyDescent="0.3">
      <c r="A22" s="18">
        <f>+A20+0.1</f>
        <v>2.4000000000000004</v>
      </c>
      <c r="B22" s="1" t="s">
        <v>115</v>
      </c>
      <c r="C22" s="23">
        <f>'Financial Statements'!B22/'Financial Statements'!B8*100</f>
        <v>25.309640705199733</v>
      </c>
      <c r="D22" s="23">
        <f>'Financial Statements'!C22/'Financial Statements'!C8*100</f>
        <v>25.881793355694239</v>
      </c>
      <c r="E22" s="23">
        <f>'Financial Statements'!D22/'Financial Statements'!D8*100</f>
        <v>20.913611278072235</v>
      </c>
    </row>
    <row r="23" spans="1:11" x14ac:dyDescent="0.3">
      <c r="A23" s="18"/>
      <c r="C23" s="23"/>
      <c r="D23" s="23"/>
      <c r="E23" s="23"/>
    </row>
    <row r="24" spans="1:11" x14ac:dyDescent="0.3">
      <c r="A24" s="18">
        <f>+A16+1</f>
        <v>3</v>
      </c>
      <c r="B24" s="7" t="s">
        <v>116</v>
      </c>
      <c r="C24" s="23"/>
      <c r="D24" s="23"/>
      <c r="E24" s="23"/>
    </row>
    <row r="25" spans="1:11" x14ac:dyDescent="0.3">
      <c r="A25" s="18">
        <f>+A24+0.1</f>
        <v>3.1</v>
      </c>
      <c r="B25" s="1" t="s">
        <v>117</v>
      </c>
      <c r="C25" s="23">
        <f>'Financial Statements'!B62/'Financial Statements'!B68</f>
        <v>5.9615369434796337</v>
      </c>
      <c r="D25" s="23">
        <f>'Financial Statements'!C62/'Financial Statements'!C68</f>
        <v>4.5635124425423994</v>
      </c>
      <c r="E25" s="23">
        <f>'Financial Statements'!D62/'Financial Statements'!D68</f>
        <v>3.9570394404566951</v>
      </c>
    </row>
    <row r="26" spans="1:11" x14ac:dyDescent="0.3">
      <c r="A26" s="18">
        <f t="shared" ref="A26:A30" si="2">+A25+0.1</f>
        <v>3.2</v>
      </c>
      <c r="B26" s="1" t="s">
        <v>118</v>
      </c>
      <c r="C26" s="23">
        <f>'Financial Statements'!B62/'Financial Statements'!B48</f>
        <v>0.85635355983614692</v>
      </c>
      <c r="D26" s="23">
        <f>'Financial Statements'!C62/'Financial Statements'!C48</f>
        <v>0.82025743443057308</v>
      </c>
      <c r="E26" s="23">
        <f>'Financial Statements'!D62/'Financial Statements'!D48</f>
        <v>0.79826668477992391</v>
      </c>
    </row>
    <row r="27" spans="1:11" x14ac:dyDescent="0.3">
      <c r="A27" s="18">
        <f t="shared" si="2"/>
        <v>3.3000000000000003</v>
      </c>
      <c r="B27" s="1" t="s">
        <v>119</v>
      </c>
      <c r="C27" s="23">
        <f>'Financial Statements'!B61/'Financial Statements'!B68</f>
        <v>2.9227383959583202</v>
      </c>
      <c r="D27" s="23">
        <f>'Financial Statements'!C61/'Financial Statements'!C68</f>
        <v>2.5745918529085432</v>
      </c>
      <c r="E27" s="23">
        <f>'Financial Statements'!D61/'Financial Statements'!D68</f>
        <v>2.3440364866312615</v>
      </c>
    </row>
    <row r="28" spans="1:11" x14ac:dyDescent="0.3">
      <c r="A28" s="18">
        <f t="shared" si="2"/>
        <v>3.4000000000000004</v>
      </c>
      <c r="B28" s="1" t="s">
        <v>120</v>
      </c>
      <c r="C28" s="23">
        <f>'Financial Statements'!B18/'Financial Statements'!B114</f>
        <v>41.68830715532286</v>
      </c>
      <c r="D28" s="23">
        <f>'Financial Statements'!C18/'Financial Statements'!C114</f>
        <v>40.546706363974693</v>
      </c>
      <c r="E28" s="23">
        <f>'Financial Statements'!D18/'Financial Statements'!D114</f>
        <v>22.081279147235175</v>
      </c>
    </row>
    <row r="29" spans="1:11" x14ac:dyDescent="0.3">
      <c r="A29" s="18">
        <f t="shared" si="2"/>
        <v>3.5000000000000004</v>
      </c>
      <c r="B29" s="1" t="s">
        <v>121</v>
      </c>
      <c r="C29" s="23">
        <f>'Financial Statements'!B18/('Financial Statements'!B114+'Financial Statements'!B54+'Financial Statements'!B55)</f>
        <v>4.981730969760167</v>
      </c>
      <c r="D29" s="23">
        <f>'Financial Statements'!C18/('Financial Statements'!C114+'Financial Statements'!C54+'Financial Statements'!C55)</f>
        <v>5.9534972677595626</v>
      </c>
      <c r="E29" s="23">
        <f>'Financial Statements'!D18/('Financial Statements'!D114+'Financial Statements'!D54+'Financial Statements'!D55)</f>
        <v>3.9525371176435513</v>
      </c>
    </row>
    <row r="30" spans="1:11" x14ac:dyDescent="0.3">
      <c r="A30" s="18">
        <f t="shared" si="2"/>
        <v>3.6000000000000005</v>
      </c>
      <c r="B30" s="1" t="s">
        <v>122</v>
      </c>
      <c r="C30" s="23">
        <f>('Financial Statements'!B91-'Financial Statements'!B96)/'Financial Statements'!B27</f>
        <v>8.1930996019169509E-3</v>
      </c>
      <c r="D30" s="23">
        <f>('Financial Statements'!C91-'Financial Statements'!C96)/'Financial Statements'!C27</f>
        <v>6.8930677854956201E-3</v>
      </c>
      <c r="E30" s="23">
        <f>('Financial Statements'!D91-'Financial Statements'!D96)/'Financial Statements'!D27</f>
        <v>5.0704470157218262E-3</v>
      </c>
    </row>
    <row r="31" spans="1:11" x14ac:dyDescent="0.3">
      <c r="A31" s="18"/>
      <c r="B31" s="3" t="s">
        <v>123</v>
      </c>
      <c r="C31" s="23"/>
      <c r="D31" s="23"/>
      <c r="E31" s="23"/>
    </row>
    <row r="32" spans="1:11" x14ac:dyDescent="0.3">
      <c r="A32" s="18"/>
      <c r="C32" s="23"/>
      <c r="D32" s="23"/>
      <c r="E32" s="23"/>
    </row>
    <row r="33" spans="1:5" x14ac:dyDescent="0.3">
      <c r="A33" s="18">
        <f>+A24+1</f>
        <v>4</v>
      </c>
      <c r="B33" s="17" t="s">
        <v>124</v>
      </c>
      <c r="C33" s="23"/>
      <c r="D33" s="23"/>
      <c r="E33" s="23"/>
    </row>
    <row r="34" spans="1:5" x14ac:dyDescent="0.3">
      <c r="A34" s="18">
        <f>+A33+0.1</f>
        <v>4.0999999999999996</v>
      </c>
      <c r="B34" s="1" t="s">
        <v>125</v>
      </c>
      <c r="C34" s="23">
        <f>'Financial Statements'!B8/(('Financial Statements'!B48+'Financial Statements'!C48)/2)</f>
        <v>1.1206368107173357</v>
      </c>
      <c r="D34" s="23">
        <f>'Financial Statements'!C8/(('Financial Statements'!C48+'Financial Statements'!D48)/2)</f>
        <v>1.084078886929722</v>
      </c>
      <c r="E34" s="23"/>
    </row>
    <row r="35" spans="1:5" x14ac:dyDescent="0.3">
      <c r="A35" s="18">
        <f t="shared" ref="A35:A37" si="3">+A34+0.1</f>
        <v>4.1999999999999993</v>
      </c>
      <c r="B35" s="1" t="s">
        <v>126</v>
      </c>
      <c r="C35" s="23">
        <f>'Financial Statements'!B8/(('Financial Statements'!B47+'Financial Statements'!C47)/2)</f>
        <v>1.8192085182553817</v>
      </c>
      <c r="D35" s="23">
        <f>'Financial Statements'!C8/(('Financial Statements'!C47+'Financial Statements'!D47)/2)</f>
        <v>1.8459710199045771</v>
      </c>
      <c r="E35" s="23"/>
    </row>
    <row r="36" spans="1:5" x14ac:dyDescent="0.3">
      <c r="A36" s="18">
        <f t="shared" si="3"/>
        <v>4.2999999999999989</v>
      </c>
      <c r="B36" s="1" t="s">
        <v>127</v>
      </c>
      <c r="C36" s="23">
        <f>'Financial Statements'!B12/(('Financial Statements'!B39+'Financial Statements'!C39)/2)</f>
        <v>38.789866389033492</v>
      </c>
      <c r="D36" s="23">
        <f>'Financial Statements'!C12/(('Financial Statements'!C39+'Financial Statements'!D39)/2)</f>
        <v>40.030260313880277</v>
      </c>
      <c r="E36" s="23"/>
    </row>
    <row r="37" spans="1:5" x14ac:dyDescent="0.3">
      <c r="A37" s="18">
        <f t="shared" si="3"/>
        <v>4.3999999999999986</v>
      </c>
      <c r="B37" s="1" t="s">
        <v>128</v>
      </c>
      <c r="C37" s="23">
        <f>'Financial Statements'!B22/(('Financial Statements'!B48+'Financial Statements'!C48)/2)</f>
        <v>0.28362915040276687</v>
      </c>
      <c r="D37" s="23">
        <f>'Financial Statements'!C22/(('Financial Statements'!C48+'Financial Statements'!D48)/2)</f>
        <v>0.28057905732786081</v>
      </c>
      <c r="E37" s="23"/>
    </row>
    <row r="38" spans="1:5" x14ac:dyDescent="0.3">
      <c r="A38" s="18"/>
      <c r="C38" s="23"/>
      <c r="D38" s="23"/>
      <c r="E38" s="23"/>
    </row>
    <row r="39" spans="1:5" x14ac:dyDescent="0.3">
      <c r="A39" s="18">
        <f>+A33+1</f>
        <v>5</v>
      </c>
      <c r="B39" s="17" t="s">
        <v>129</v>
      </c>
      <c r="D39" s="23"/>
      <c r="E39" s="23"/>
    </row>
    <row r="40" spans="1:5" x14ac:dyDescent="0.3">
      <c r="A40" s="18">
        <f>+A39+0.1</f>
        <v>5.0999999999999996</v>
      </c>
      <c r="B40" s="1" t="s">
        <v>130</v>
      </c>
      <c r="C40" s="23">
        <f>'stock prices '!A3/'Financial Statements'!B24</f>
        <v>31.305691056910568</v>
      </c>
      <c r="D40" s="23">
        <f>'stock prices '!B3/'Financial Statements'!C24</f>
        <v>31.262786596119927</v>
      </c>
      <c r="E40" s="23">
        <f>'stock prices '!C3/'Financial Statements'!D24</f>
        <v>40.087613293051355</v>
      </c>
    </row>
    <row r="41" spans="1:5" x14ac:dyDescent="0.3">
      <c r="A41" s="18">
        <f t="shared" ref="A41:A44" si="4">+A40+0.1</f>
        <v>5.1999999999999993</v>
      </c>
      <c r="B41" s="3" t="s">
        <v>131</v>
      </c>
      <c r="C41" s="23">
        <f>'Financial Statements'!B22*1000/'Financial Statements'!B27</f>
        <v>6.1546144376377772</v>
      </c>
      <c r="D41" s="23">
        <f>'Financial Statements'!C22*1000/'Financial Statements'!C27</f>
        <v>5.6690292811230183</v>
      </c>
      <c r="E41" s="23">
        <f>'Financial Statements'!D22*1000/'Financial Statements'!D27</f>
        <v>3.3085872682177895</v>
      </c>
    </row>
    <row r="42" spans="1:5" x14ac:dyDescent="0.3">
      <c r="A42" s="18">
        <f t="shared" si="4"/>
        <v>5.2999999999999989</v>
      </c>
      <c r="B42" s="1" t="s">
        <v>132</v>
      </c>
      <c r="C42" s="23">
        <f>'stock prices '!A3/'List of Ratios'!C43</f>
        <v>61.613106970121571</v>
      </c>
      <c r="D42" s="23">
        <f>'stock prices '!B3/'List of Ratios'!D43</f>
        <v>46.924512200348708</v>
      </c>
      <c r="E42" s="23">
        <f>'stock prices '!C3/'List of Ratios'!E43</f>
        <v>35.238566095440703</v>
      </c>
    </row>
    <row r="43" spans="1:5" x14ac:dyDescent="0.3">
      <c r="A43" s="18">
        <f t="shared" si="4"/>
        <v>5.3999999999999986</v>
      </c>
      <c r="B43" s="3" t="s">
        <v>133</v>
      </c>
      <c r="C43" s="23">
        <f>'Financial Statements'!B68*1000/'Financial Statements'!B27</f>
        <v>3.124822127430853</v>
      </c>
      <c r="D43" s="23">
        <f>'Financial Statements'!C68*1000/'Financial Statements'!C27</f>
        <v>3.7775565837141025</v>
      </c>
      <c r="E43" s="23">
        <f>'Financial Statements'!D68*1000/'Financial Statements'!D27</f>
        <v>3.765476712094932</v>
      </c>
    </row>
    <row r="44" spans="1:5" x14ac:dyDescent="0.3">
      <c r="A44" s="18">
        <f t="shared" si="4"/>
        <v>5.4999999999999982</v>
      </c>
      <c r="B44" s="1" t="s">
        <v>134</v>
      </c>
      <c r="C44" s="23">
        <f>ABS('Financial Statements'!B102/'Financial Statements'!B22)</f>
        <v>0.14870294480125848</v>
      </c>
      <c r="D44" s="23">
        <f>ABS('Financial Statements'!C102/'Financial Statements'!C22)</f>
        <v>0.15279890156316012</v>
      </c>
      <c r="E44" s="23">
        <f>ABS('Financial Statements'!D102/'Financial Statements'!D22)</f>
        <v>0.24526658654264863</v>
      </c>
    </row>
    <row r="45" spans="1:5" x14ac:dyDescent="0.3">
      <c r="A45" s="18"/>
      <c r="B45" s="3" t="s">
        <v>135</v>
      </c>
      <c r="C45" s="23">
        <f>ABS('Financial Statements'!B102/'Financial Statements'!B27)*1000</f>
        <v>0.91520929099307891</v>
      </c>
      <c r="D45" s="23">
        <f>ABS('Financial Statements'!C102/'Financial Statements'!C27)*1000</f>
        <v>0.86622144708498849</v>
      </c>
      <c r="E45" s="23">
        <f>ABS('Financial Statements'!D102/'Financial Statements'!D27)*1000</f>
        <v>0.81148590555424382</v>
      </c>
    </row>
    <row r="46" spans="1:5" x14ac:dyDescent="0.3">
      <c r="A46" s="18">
        <f>+A44+0.1</f>
        <v>5.5999999999999979</v>
      </c>
      <c r="B46" s="1" t="s">
        <v>136</v>
      </c>
      <c r="C46" s="23">
        <f>(C45/'stock prices '!A3)*100</f>
        <v>0.47535931594716613</v>
      </c>
      <c r="D46" s="23">
        <f>(D45/'stock prices '!B3)*100</f>
        <v>0.48867282358399444</v>
      </c>
      <c r="E46" s="23">
        <f>(E45/'stock prices '!C3)*100</f>
        <v>0.61156523140722274</v>
      </c>
    </row>
    <row r="47" spans="1:5" x14ac:dyDescent="0.3">
      <c r="A47" s="18">
        <f t="shared" ref="A47:A50" si="5">+A45+0.1</f>
        <v>0.1</v>
      </c>
      <c r="B47" s="1" t="s">
        <v>137</v>
      </c>
      <c r="C47" s="23">
        <f>'Financial Statements'!B22/'Financial Statements'!B68</f>
        <v>1.9695887275023682</v>
      </c>
      <c r="D47" s="23">
        <f>'Financial Statements'!C22/'Financial Statements'!C68</f>
        <v>1.5007132667617689</v>
      </c>
      <c r="E47" s="23">
        <f>'Financial Statements'!D22/'Financial Statements'!D68</f>
        <v>0.87866358530127486</v>
      </c>
    </row>
    <row r="48" spans="1:5" x14ac:dyDescent="0.3">
      <c r="A48" s="18">
        <f t="shared" si="5"/>
        <v>5.6999999999999975</v>
      </c>
      <c r="B48" s="1" t="s">
        <v>138</v>
      </c>
      <c r="C48" s="23">
        <f>'Financial Statements'!B20/('Financial Statements'!B61+'Financial Statements'!B68)</f>
        <v>0.59919103701206899</v>
      </c>
      <c r="D48" s="23">
        <f>'Financial Statements'!C20/('Financial Statements'!C61+'Financial Statements'!C68)</f>
        <v>0.48424315252238148</v>
      </c>
      <c r="E48" s="23">
        <f>'Financial Statements'!D20/('Financial Statements'!D61+'Financial Statements'!D68)</f>
        <v>0.30705825278265964</v>
      </c>
    </row>
    <row r="49" spans="1:5" x14ac:dyDescent="0.3">
      <c r="A49" s="18">
        <f t="shared" si="5"/>
        <v>0.2</v>
      </c>
      <c r="B49" s="1" t="s">
        <v>128</v>
      </c>
      <c r="C49" s="23">
        <f>'Financial Statements'!B22/'Financial Statements'!B48</f>
        <v>0.28292440929256851</v>
      </c>
      <c r="D49" s="23">
        <f>'Financial Statements'!C22/'Financial Statements'!C48</f>
        <v>0.26974205275183616</v>
      </c>
      <c r="E49" s="23">
        <f>'Financial Statements'!D22/'Financial Statements'!D48</f>
        <v>0.1772557180259843</v>
      </c>
    </row>
    <row r="50" spans="1:5" x14ac:dyDescent="0.3">
      <c r="A50" s="18">
        <f t="shared" si="5"/>
        <v>5.7999999999999972</v>
      </c>
      <c r="B50" s="1" t="s">
        <v>139</v>
      </c>
      <c r="C50" s="23">
        <f>C51/'Financial Statements'!B20</f>
        <v>26213.93512665508</v>
      </c>
      <c r="D50" s="23">
        <f>D51/'Financial Statements'!C20</f>
        <v>27109.769343723387</v>
      </c>
      <c r="E50" s="23">
        <f>E51/'Financial Statements'!D20</f>
        <v>34319.824374506272</v>
      </c>
    </row>
    <row r="51" spans="1:5" x14ac:dyDescent="0.3">
      <c r="A51" s="18"/>
      <c r="B51" s="3" t="s">
        <v>140</v>
      </c>
      <c r="C51" s="23">
        <f>('stock prices '!A3*'Financial Statements'!B27)+'Financial Statements'!B59</f>
        <v>3122158315.3899999</v>
      </c>
      <c r="D51" s="23">
        <f>('stock prices '!B3*'Financial Statements'!C27)+'Financial Statements'!C59</f>
        <v>2960576580.7199998</v>
      </c>
      <c r="E51" s="23">
        <f>('stock prices '!C3*'Financial Statements'!D27)+'Financial Statements'!D59</f>
        <v>2302551337.1100001</v>
      </c>
    </row>
    <row r="52" spans="1:5" x14ac:dyDescent="0.3">
      <c r="C52" s="23"/>
      <c r="D52" s="23"/>
      <c r="E52" s="23"/>
    </row>
    <row r="53" spans="1:5" x14ac:dyDescent="0.3">
      <c r="C53" s="23"/>
      <c r="D53" s="23"/>
      <c r="E53" s="23"/>
    </row>
  </sheetData>
  <mergeCells count="1">
    <mergeCell ref="C2:E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C94D4-7608-40EA-8821-1501EADB0B49}">
  <dimension ref="A1:F5"/>
  <sheetViews>
    <sheetView workbookViewId="0">
      <selection activeCell="I13" sqref="I13"/>
    </sheetView>
  </sheetViews>
  <sheetFormatPr defaultRowHeight="14.4" x14ac:dyDescent="0.3"/>
  <sheetData>
    <row r="1" spans="1:6" x14ac:dyDescent="0.3">
      <c r="A1" s="26" t="s">
        <v>151</v>
      </c>
      <c r="B1" s="26"/>
      <c r="C1" s="26"/>
    </row>
    <row r="2" spans="1:6" x14ac:dyDescent="0.3">
      <c r="A2">
        <v>2022</v>
      </c>
      <c r="B2">
        <v>2021</v>
      </c>
      <c r="C2">
        <v>2022</v>
      </c>
    </row>
    <row r="3" spans="1:6" x14ac:dyDescent="0.3">
      <c r="A3">
        <f>192.53</f>
        <v>192.53</v>
      </c>
      <c r="B3">
        <f>177.26</f>
        <v>177.26</v>
      </c>
      <c r="C3">
        <f>132.69</f>
        <v>132.69</v>
      </c>
    </row>
    <row r="5" spans="1:6" x14ac:dyDescent="0.3">
      <c r="F5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Financial Statements</vt:lpstr>
      <vt:lpstr>other calculation</vt:lpstr>
      <vt:lpstr>List of Ratios</vt:lpstr>
      <vt:lpstr>stock prices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shadrack namba</cp:lastModifiedBy>
  <dcterms:created xsi:type="dcterms:W3CDTF">2020-05-18T16:32:37Z</dcterms:created>
  <dcterms:modified xsi:type="dcterms:W3CDTF">2024-02-27T19:19:18Z</dcterms:modified>
</cp:coreProperties>
</file>