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5" windowHeight="6360" activeTab="2"/>
  </bookViews>
  <sheets>
    <sheet name="Instructions" sheetId="2" r:id="rId1"/>
    <sheet name="Financial Statements" sheetId="1" r:id="rId2"/>
    <sheet name="List of Ratios" sheetId="3" r:id="rId3"/>
  </sheets>
  <calcPr calcId="144525"/>
</workbook>
</file>

<file path=xl/sharedStrings.xml><?xml version="1.0" encoding="utf-8"?>
<sst xmlns="http://schemas.openxmlformats.org/spreadsheetml/2006/main" count="176" uniqueCount="154">
  <si>
    <t>Instructions</t>
  </si>
  <si>
    <t>Sheet contains the financial statements of Apple Inc. extracted from the most recent annual report:</t>
  </si>
  <si>
    <t>https://investor.apple.com/investor-relations/default.aspx</t>
  </si>
  <si>
    <t>You are required to perform a ratio analysis in excel using the information provided from this financial statements</t>
  </si>
  <si>
    <t>The ratios that should be calculated are listed in the ratios tab</t>
  </si>
  <si>
    <t>In addition to the above, you are required to calculate the growth rates for the following:</t>
  </si>
  <si>
    <t>Sales (each category and net sales)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</si>
  <si>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</si>
  <si>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</si>
  <si>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</si>
  <si>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</si>
  <si>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COGS (Cost of goods sold)</t>
  </si>
  <si>
    <t>Operating income</t>
  </si>
  <si>
    <t>Net profit</t>
  </si>
  <si>
    <t>You are required to calculate the following additional items</t>
  </si>
  <si>
    <t>Income tax rate</t>
  </si>
  <si>
    <t>Capex as a percentage of sales</t>
  </si>
  <si>
    <t>Capex as a percentage of fixed assets</t>
  </si>
  <si>
    <t>* Market information like share price should be obtained from bloomberg.com from the particular day's closing price</t>
  </si>
  <si>
    <t>https://www.bloomberg.com/quote/AAPL:US</t>
  </si>
  <si>
    <t>All of the above ratios should be calculated in the "List of Ratios" tab</t>
  </si>
  <si>
    <t>Apple Inc.</t>
  </si>
  <si>
    <t>(In millions, except number of shares which are reflected in thousands and per share amounts)</t>
  </si>
  <si>
    <t>CONSOLIDATED STATEMENTS OF OPERATIONS</t>
  </si>
  <si>
    <t>Years ended September,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</si>
  <si>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</si>
  <si>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</si>
  <si>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</si>
  <si>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</si>
  <si>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</si>
  <si>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</si>
  <si>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</si>
  <si>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</si>
  <si>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</si>
  <si>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</si>
  <si>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</si>
  <si>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</si>
  <si>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</si>
  <si>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</si>
  <si>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</si>
  <si>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</si>
  <si>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</si>
  <si>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</si>
  <si>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</si>
  <si>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CONSOLIDATED BALANCE SHEETS</t>
  </si>
  <si>
    <t>As at September,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</si>
  <si>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</si>
  <si>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</si>
  <si>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</si>
  <si>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</si>
  <si>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</si>
  <si>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</si>
  <si>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</si>
  <si>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</si>
  <si>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</si>
  <si>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</si>
  <si>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</si>
  <si>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</si>
  <si>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</si>
  <si>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</si>
  <si>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</si>
  <si>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</si>
  <si>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</si>
  <si>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</si>
  <si>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</si>
  <si>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</si>
  <si>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</si>
  <si>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</si>
  <si>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</si>
  <si>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</si>
  <si>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</si>
  <si>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</si>
  <si>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</si>
  <si>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</si>
  <si>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</si>
  <si>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</si>
  <si>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</si>
  <si>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</si>
  <si>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</si>
  <si>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</si>
  <si>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</si>
  <si>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</si>
  <si>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</si>
  <si>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</si>
  <si>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</si>
  <si>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</si>
  <si>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</si>
  <si>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</si>
  <si>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</si>
  <si>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</si>
  <si>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</si>
  <si>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</si>
  <si>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</si>
  <si>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</si>
  <si>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</si>
  <si>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</si>
  <si>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</si>
  <si>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</si>
  <si>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</si>
  <si>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</si>
  <si>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</si>
  <si>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</si>
  <si>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</si>
  <si>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</si>
  <si>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</si>
  <si>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</si>
  <si>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</si>
  <si>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</si>
  <si>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Liquidity</t>
  </si>
  <si>
    <t>Current ratio = CA/CL</t>
  </si>
  <si>
    <t>Quick Ratio= CA-INV/CL</t>
  </si>
  <si>
    <t>Cash Ratio= Cash/CL</t>
  </si>
  <si>
    <t>Defensive Interval= Liquid Current Asset/Daily Exp(Operating Exp- Dep/365 days)</t>
  </si>
  <si>
    <t>Inventory Days= 365 / Inventory turnover</t>
  </si>
  <si>
    <t>Payable Days= 365/Account Payable Turnover</t>
  </si>
  <si>
    <t>Receivable Days= 365/Account Receivable Turnover</t>
  </si>
  <si>
    <t>Net trading cycle = Receivable days + Inventory days</t>
  </si>
  <si>
    <t>Working Capital as a % of Sales</t>
  </si>
  <si>
    <t>Working Capital</t>
  </si>
  <si>
    <t>Profitability</t>
  </si>
  <si>
    <t>EBITDA margin=EBITDA/Total Revenue</t>
  </si>
  <si>
    <t>EBITDA= Net Income + Interest Expense + Taxes + Depreciation + Amortization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</si>
  <si>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</si>
  <si>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</si>
  <si>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</si>
  <si>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</si>
  <si>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</si>
  <si>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</si>
  <si>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</si>
  <si>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</si>
  <si>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 = Net Operating income/Debt Service</t>
  </si>
  <si>
    <t>Free cash flow (FCFE) per share =FCFE/Share Outstanding</t>
  </si>
  <si>
    <t>FCFE= Cash from Operating Activities – Capital Expenditures + Net Debt Issued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</si>
  <si>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</si>
  <si>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</si>
  <si>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</si>
  <si>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</si>
  <si>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</si>
  <si>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</si>
  <si>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 = Price Per share/EPS</t>
  </si>
  <si>
    <t>Earnings per share (EPS)</t>
  </si>
  <si>
    <t>Price to book value (PBV)</t>
  </si>
  <si>
    <t>Book value per share (BV)</t>
  </si>
  <si>
    <t>Dividend payout ratio =Dividends paid/Net Income</t>
  </si>
  <si>
    <t>Dividend per share =Dividend/Outstanding Shares</t>
  </si>
  <si>
    <t>Dividend yield = Dividend per share/Market price per share</t>
  </si>
  <si>
    <t>Return on equity (ROE)= Net Income/Equity</t>
  </si>
  <si>
    <t>Return on capital employed (ROCE)= EBIT/(Asset-Current liabilities)</t>
  </si>
  <si>
    <t>Return on assets (ROA)= Net income/Total Asset</t>
  </si>
  <si>
    <t>Enterprise value to EBITDA (EV/EBITDA)</t>
  </si>
  <si>
    <t>Enterprise value (EV) =MC+TOTAL DEBT- C</t>
  </si>
  <si>
    <t>Shares Outstanding</t>
  </si>
  <si>
    <t>Capital Expenditure= Net Property Plant and Equipment + Depreciation</t>
  </si>
  <si>
    <t>Net Property Plant and Equipment</t>
  </si>
</sst>
</file>

<file path=xl/styles.xml><?xml version="1.0" encoding="utf-8"?>
<styleSheet xmlns="http://schemas.openxmlformats.org/spreadsheetml/2006/main" xmlns:xr9="http://schemas.microsoft.com/office/spreadsheetml/2016/revision9">
  <numFmts count="11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0.0"/>
    <numFmt numFmtId="178" formatCode="_(* #,##0.00_);_(* \(#,##0.00\);_(* &quot;-&quot;??.00_);_(@_)"/>
    <numFmt numFmtId="179" formatCode="_(* #,##0_);_(* \(#,##0\);_(* &quot;-&quot;??_);_(@_)"/>
    <numFmt numFmtId="180" formatCode="_(* #,##0.000_);_(* \(#,##0.000\);_(* &quot;-&quot;??.0_);_(@_)"/>
    <numFmt numFmtId="181" formatCode="_(* #,##0.0000_);_(* \(#,##0.0000\);_(* &quot;-&quot;??.000_);_(@_)"/>
    <numFmt numFmtId="182" formatCode="_(* #,##0.00000000_);_(* \(#,##0.00000000\);_(* &quot;-&quot;??.000000_);_(@_)"/>
    <numFmt numFmtId="183" formatCode="0.0%"/>
  </numFmts>
  <fonts count="26">
    <font>
      <sz val="11"/>
      <color theme="1"/>
      <name val="Calibri"/>
      <charset val="134"/>
      <scheme val="minor"/>
    </font>
    <font>
      <b/>
      <sz val="20"/>
      <color theme="0"/>
      <name val="Calibri"/>
      <charset val="134"/>
      <scheme val="minor"/>
    </font>
    <font>
      <sz val="20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8"/>
      <color theme="0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7" fillId="5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77" fontId="0" fillId="0" borderId="0" xfId="0" applyNumberFormat="1"/>
    <xf numFmtId="0" fontId="0" fillId="0" borderId="0" xfId="0" applyAlignment="1">
      <alignment horizontal="left" indent="1"/>
    </xf>
    <xf numFmtId="43" fontId="0" fillId="0" borderId="0" xfId="1"/>
    <xf numFmtId="178" fontId="0" fillId="0" borderId="0" xfId="0" applyNumberFormat="1"/>
    <xf numFmtId="43" fontId="0" fillId="0" borderId="0" xfId="0" applyNumberFormat="1"/>
    <xf numFmtId="9" fontId="0" fillId="0" borderId="0" xfId="3"/>
    <xf numFmtId="0" fontId="0" fillId="0" borderId="0" xfId="0" applyAlignment="1">
      <alignment horizontal="left" indent="2"/>
    </xf>
    <xf numFmtId="179" fontId="0" fillId="0" borderId="0" xfId="0" applyNumberFormat="1"/>
    <xf numFmtId="0" fontId="4" fillId="0" borderId="0" xfId="0" applyFont="1" applyAlignment="1">
      <alignment horizontal="left"/>
    </xf>
    <xf numFmtId="180" fontId="0" fillId="0" borderId="0" xfId="1" applyNumberFormat="1"/>
    <xf numFmtId="181" fontId="0" fillId="0" borderId="0" xfId="1" applyNumberFormat="1"/>
    <xf numFmtId="182" fontId="0" fillId="0" borderId="0" xfId="1" applyNumberFormat="1"/>
    <xf numFmtId="183" fontId="0" fillId="0" borderId="0" xfId="3" applyNumberFormat="1"/>
    <xf numFmtId="3" fontId="0" fillId="0" borderId="0" xfId="0" applyNumberFormat="1"/>
    <xf numFmtId="0" fontId="4" fillId="0" borderId="0" xfId="0" applyFont="1" applyBorder="1"/>
    <xf numFmtId="0" fontId="3" fillId="2" borderId="0" xfId="0" applyFont="1" applyFill="1"/>
    <xf numFmtId="0" fontId="4" fillId="3" borderId="0" xfId="0" applyFont="1" applyFill="1" applyAlignment="1">
      <alignment horizontal="center"/>
    </xf>
    <xf numFmtId="179" fontId="0" fillId="0" borderId="0" xfId="1" applyNumberFormat="1" applyFont="1"/>
    <xf numFmtId="0" fontId="4" fillId="0" borderId="1" xfId="0" applyFont="1" applyBorder="1"/>
    <xf numFmtId="179" fontId="4" fillId="0" borderId="1" xfId="1" applyNumberFormat="1" applyFont="1" applyBorder="1"/>
    <xf numFmtId="0" fontId="4" fillId="0" borderId="2" xfId="0" applyFont="1" applyBorder="1"/>
    <xf numFmtId="179" fontId="4" fillId="0" borderId="2" xfId="1" applyNumberFormat="1" applyFont="1" applyBorder="1"/>
    <xf numFmtId="0" fontId="0" fillId="4" borderId="0" xfId="0" applyFill="1"/>
    <xf numFmtId="0" fontId="4" fillId="0" borderId="3" xfId="0" applyFont="1" applyBorder="1" applyAlignment="1">
      <alignment horizontal="left"/>
    </xf>
    <xf numFmtId="179" fontId="0" fillId="0" borderId="3" xfId="1" applyNumberFormat="1" applyFont="1" applyBorder="1"/>
    <xf numFmtId="179" fontId="4" fillId="0" borderId="0" xfId="1" applyNumberFormat="1" applyFont="1"/>
    <xf numFmtId="0" fontId="4" fillId="0" borderId="0" xfId="0" applyFont="1" applyAlignment="1">
      <alignment horizontal="left" indent="1"/>
    </xf>
    <xf numFmtId="0" fontId="5" fillId="2" borderId="0" xfId="0" applyFont="1" applyFill="1"/>
    <xf numFmtId="0" fontId="6" fillId="0" borderId="0" xfId="6" applyAlignment="1">
      <alignment horizontal="left" inden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9"/>
  <sheetViews>
    <sheetView workbookViewId="0">
      <selection activeCell="A2" sqref="A2"/>
    </sheetView>
  </sheetViews>
  <sheetFormatPr defaultColWidth="9" defaultRowHeight="14.25"/>
  <cols>
    <col min="1" max="1" width="104.554545454545" customWidth="1"/>
  </cols>
  <sheetData>
    <row r="1" ht="23" spans="1:1">
      <c r="A1" s="33" t="s">
        <v>0</v>
      </c>
    </row>
    <row r="3" spans="1:1">
      <c r="A3" s="5" t="s">
        <v>1</v>
      </c>
    </row>
    <row r="4" spans="1:1">
      <c r="A4" s="34" t="s">
        <v>2</v>
      </c>
    </row>
    <row r="5" spans="1:1">
      <c r="A5" s="5" t="s">
        <v>3</v>
      </c>
    </row>
    <row r="6" spans="1:1">
      <c r="A6" s="7" t="s">
        <v>4</v>
      </c>
    </row>
    <row r="7" spans="1:1">
      <c r="A7" s="7"/>
    </row>
    <row r="8" spans="1:1">
      <c r="A8" s="14" t="s">
        <v>5</v>
      </c>
    </row>
    <row r="9" spans="1:1">
      <c r="A9" s="7" t="s">
        <v>6</v>
      </c>
    </row>
    <row r="10" spans="1:1">
      <c r="A10" s="7" t="s">
        <v>7</v>
      </c>
    </row>
    <row r="11" spans="1:1">
      <c r="A11" s="7" t="s">
        <v>8</v>
      </c>
    </row>
    <row r="12" spans="1:1">
      <c r="A12" s="7" t="s">
        <v>9</v>
      </c>
    </row>
    <row r="13" spans="1:1">
      <c r="A13" s="7"/>
    </row>
    <row r="14" spans="1:1">
      <c r="A14" s="14" t="s">
        <v>10</v>
      </c>
    </row>
    <row r="15" spans="1:1">
      <c r="A15" s="7" t="s">
        <v>11</v>
      </c>
    </row>
    <row r="16" spans="1:1">
      <c r="A16" s="7" t="s">
        <v>7</v>
      </c>
    </row>
    <row r="17" spans="1:1">
      <c r="A17" s="7" t="s">
        <v>8</v>
      </c>
    </row>
    <row r="18" spans="1:1">
      <c r="A18" s="7" t="s">
        <v>12</v>
      </c>
    </row>
    <row r="19" spans="1:1">
      <c r="A19" s="7" t="s">
        <v>13</v>
      </c>
    </row>
    <row r="20" spans="1:1">
      <c r="A20" s="7"/>
    </row>
    <row r="21" spans="1:1">
      <c r="A21" s="14" t="s">
        <v>14</v>
      </c>
    </row>
    <row r="22" spans="1:1">
      <c r="A22" s="7" t="s">
        <v>15</v>
      </c>
    </row>
    <row r="23" spans="1:1">
      <c r="A23" s="7" t="s">
        <v>16</v>
      </c>
    </row>
    <row r="24" spans="1:1">
      <c r="A24" s="7" t="s">
        <v>17</v>
      </c>
    </row>
    <row r="25" spans="1:1">
      <c r="A25" s="7"/>
    </row>
    <row r="26" spans="1:1">
      <c r="A26" s="14" t="s">
        <v>18</v>
      </c>
    </row>
    <row r="27" spans="1:1">
      <c r="A27" s="34" t="s">
        <v>19</v>
      </c>
    </row>
    <row r="29" spans="1:1">
      <c r="A29" s="5" t="s">
        <v>20</v>
      </c>
    </row>
  </sheetData>
  <hyperlinks>
    <hyperlink ref="A4" r:id="rId1" display="https://investor.apple.com/investor-relations/default.aspx"/>
    <hyperlink ref="A27" r:id="rId2" display="https://www.bloomberg.com/quote/AAPL:US"/>
  </hyperlink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4"/>
  <sheetViews>
    <sheetView topLeftCell="A32" workbookViewId="0">
      <selection activeCell="B47" sqref="B47"/>
    </sheetView>
  </sheetViews>
  <sheetFormatPr defaultColWidth="9" defaultRowHeight="14.25"/>
  <cols>
    <col min="1" max="1" width="59" customWidth="1"/>
    <col min="2" max="3" width="11.5545454545455" customWidth="1"/>
    <col min="4" max="4" width="11.6636363636364" customWidth="1"/>
  </cols>
  <sheetData>
    <row r="1" ht="60" customHeight="1" spans="1:10">
      <c r="A1" s="1" t="s">
        <v>21</v>
      </c>
      <c r="B1" s="21" t="s">
        <v>22</v>
      </c>
      <c r="C1" s="21"/>
      <c r="D1" s="21"/>
      <c r="E1" s="21"/>
      <c r="F1" s="21"/>
      <c r="G1" s="21"/>
      <c r="H1" s="21"/>
      <c r="I1" s="21"/>
      <c r="J1" s="21"/>
    </row>
    <row r="2" spans="1:4">
      <c r="A2" s="22" t="s">
        <v>23</v>
      </c>
      <c r="B2" s="22"/>
      <c r="C2" s="22"/>
      <c r="D2" s="22"/>
    </row>
    <row r="3" spans="2:4">
      <c r="B3" s="4" t="s">
        <v>24</v>
      </c>
      <c r="C3" s="4"/>
      <c r="D3" s="4"/>
    </row>
    <row r="4" spans="2:4">
      <c r="B4" s="5">
        <v>2022</v>
      </c>
      <c r="C4" s="5">
        <v>2021</v>
      </c>
      <c r="D4" s="5">
        <v>2020</v>
      </c>
    </row>
    <row r="5" spans="1:1">
      <c r="A5" t="s">
        <v>25</v>
      </c>
    </row>
    <row r="6" spans="1:4">
      <c r="A6" s="7" t="s">
        <v>26</v>
      </c>
      <c r="B6" s="23">
        <v>316199</v>
      </c>
      <c r="C6" s="23">
        <v>297392</v>
      </c>
      <c r="D6" s="23">
        <v>220747</v>
      </c>
    </row>
    <row r="7" spans="1:4">
      <c r="A7" s="7" t="s">
        <v>27</v>
      </c>
      <c r="B7" s="23">
        <v>78129</v>
      </c>
      <c r="C7" s="23">
        <v>68425</v>
      </c>
      <c r="D7" s="23">
        <v>53768</v>
      </c>
    </row>
    <row r="8" spans="1:4">
      <c r="A8" s="24" t="s">
        <v>28</v>
      </c>
      <c r="B8" s="25">
        <f>+B6+B7</f>
        <v>394328</v>
      </c>
      <c r="C8" s="25">
        <f t="shared" ref="C8:D8" si="0">+C6+C7</f>
        <v>365817</v>
      </c>
      <c r="D8" s="25">
        <f t="shared" si="0"/>
        <v>274515</v>
      </c>
    </row>
    <row r="9" spans="1:4">
      <c r="A9" t="s">
        <v>29</v>
      </c>
      <c r="B9" s="23"/>
      <c r="C9" s="23"/>
      <c r="D9" s="23"/>
    </row>
    <row r="10" spans="1:4">
      <c r="A10" s="7" t="s">
        <v>26</v>
      </c>
      <c r="B10" s="23">
        <v>201471</v>
      </c>
      <c r="C10" s="23">
        <v>192266</v>
      </c>
      <c r="D10" s="23">
        <v>151286</v>
      </c>
    </row>
    <row r="11" spans="1:4">
      <c r="A11" s="7" t="s">
        <v>27</v>
      </c>
      <c r="B11" s="23">
        <v>22075</v>
      </c>
      <c r="C11" s="23">
        <v>20715</v>
      </c>
      <c r="D11" s="23">
        <v>18273</v>
      </c>
    </row>
    <row r="12" spans="1:4">
      <c r="A12" s="24" t="s">
        <v>30</v>
      </c>
      <c r="B12" s="25">
        <f>+B10+B11</f>
        <v>223546</v>
      </c>
      <c r="C12" s="25">
        <f t="shared" ref="C12:D12" si="1">+C10+C11</f>
        <v>212981</v>
      </c>
      <c r="D12" s="25">
        <f t="shared" si="1"/>
        <v>169559</v>
      </c>
    </row>
    <row r="13" spans="1:4">
      <c r="A13" s="24" t="s">
        <v>31</v>
      </c>
      <c r="B13" s="25">
        <f>+B8-B12</f>
        <v>170782</v>
      </c>
      <c r="C13" s="25">
        <f t="shared" ref="C13:D13" si="2">+C8-C12</f>
        <v>152836</v>
      </c>
      <c r="D13" s="25">
        <f t="shared" si="2"/>
        <v>104956</v>
      </c>
    </row>
    <row r="14" spans="1:4">
      <c r="A14" t="s">
        <v>32</v>
      </c>
      <c r="B14" s="23"/>
      <c r="C14" s="23"/>
      <c r="D14" s="23"/>
    </row>
    <row r="15" spans="1:4">
      <c r="A15" s="7" t="s">
        <v>33</v>
      </c>
      <c r="B15" s="23">
        <v>26251</v>
      </c>
      <c r="C15" s="23">
        <v>21914</v>
      </c>
      <c r="D15" s="23">
        <v>18752</v>
      </c>
    </row>
    <row r="16" spans="1:4">
      <c r="A16" s="7" t="s">
        <v>34</v>
      </c>
      <c r="B16" s="23">
        <v>25094</v>
      </c>
      <c r="C16" s="23">
        <v>21973</v>
      </c>
      <c r="D16" s="23">
        <v>19916</v>
      </c>
    </row>
    <row r="17" spans="1:4">
      <c r="A17" s="24" t="s">
        <v>35</v>
      </c>
      <c r="B17" s="25">
        <f>+B15+B16</f>
        <v>51345</v>
      </c>
      <c r="C17" s="25">
        <f t="shared" ref="C17" si="3">+C15+C16</f>
        <v>43887</v>
      </c>
      <c r="D17" s="25">
        <f t="shared" ref="D17" si="4">+D15+D16</f>
        <v>38668</v>
      </c>
    </row>
    <row r="18" s="20" customFormat="1" spans="1:4">
      <c r="A18" s="24" t="s">
        <v>12</v>
      </c>
      <c r="B18" s="25">
        <f>+B13-B17</f>
        <v>119437</v>
      </c>
      <c r="C18" s="25">
        <f t="shared" ref="C18:D18" si="5">+C13-C17</f>
        <v>108949</v>
      </c>
      <c r="D18" s="25">
        <f t="shared" si="5"/>
        <v>66288</v>
      </c>
    </row>
    <row r="19" spans="1:4">
      <c r="A19" t="s">
        <v>36</v>
      </c>
      <c r="B19" s="23">
        <v>-334</v>
      </c>
      <c r="C19" s="23">
        <v>258</v>
      </c>
      <c r="D19" s="23">
        <v>803</v>
      </c>
    </row>
    <row r="20" spans="1:4">
      <c r="A20" s="24" t="s">
        <v>37</v>
      </c>
      <c r="B20" s="25">
        <f>+B18+B19</f>
        <v>119103</v>
      </c>
      <c r="C20" s="25">
        <f t="shared" ref="C20:D20" si="6">+C18+C19</f>
        <v>109207</v>
      </c>
      <c r="D20" s="25">
        <f t="shared" si="6"/>
        <v>67091</v>
      </c>
    </row>
    <row r="21" spans="1:4">
      <c r="A21" t="s">
        <v>38</v>
      </c>
      <c r="B21" s="23">
        <v>19300</v>
      </c>
      <c r="C21" s="23">
        <v>14527</v>
      </c>
      <c r="D21" s="23">
        <v>9680</v>
      </c>
    </row>
    <row r="22" ht="15" spans="1:4">
      <c r="A22" s="26" t="s">
        <v>39</v>
      </c>
      <c r="B22" s="27">
        <f>+B20-B21</f>
        <v>99803</v>
      </c>
      <c r="C22" s="27">
        <f t="shared" ref="C22:D22" si="7">+C20-C21</f>
        <v>94680</v>
      </c>
      <c r="D22" s="27">
        <f t="shared" si="7"/>
        <v>57411</v>
      </c>
    </row>
    <row r="23" ht="15" spans="1:1">
      <c r="A23" t="s">
        <v>40</v>
      </c>
    </row>
    <row r="24" spans="1:4">
      <c r="A24" s="7" t="s">
        <v>41</v>
      </c>
      <c r="B24" s="28">
        <v>6.15</v>
      </c>
      <c r="C24" s="28">
        <v>5.67</v>
      </c>
      <c r="D24" s="28">
        <v>3.31</v>
      </c>
    </row>
    <row r="25" spans="1:4">
      <c r="A25" s="7" t="s">
        <v>42</v>
      </c>
      <c r="B25" s="28">
        <v>6.11</v>
      </c>
      <c r="C25" s="28">
        <v>5.61</v>
      </c>
      <c r="D25" s="28">
        <v>3.28</v>
      </c>
    </row>
    <row r="26" spans="1:1">
      <c r="A26" t="s">
        <v>43</v>
      </c>
    </row>
    <row r="27" spans="1:4">
      <c r="A27" s="7" t="s">
        <v>41</v>
      </c>
      <c r="B27" s="19">
        <v>16215963</v>
      </c>
      <c r="C27" s="19">
        <v>16701272</v>
      </c>
      <c r="D27" s="19">
        <v>17352119</v>
      </c>
    </row>
    <row r="28" spans="1:4">
      <c r="A28" s="7" t="s">
        <v>42</v>
      </c>
      <c r="B28" s="19">
        <v>16325819</v>
      </c>
      <c r="C28" s="19">
        <v>16864919</v>
      </c>
      <c r="D28" s="19">
        <v>17528214</v>
      </c>
    </row>
    <row r="31" spans="1:4">
      <c r="A31" s="22" t="s">
        <v>44</v>
      </c>
      <c r="B31" s="22"/>
      <c r="C31" s="22"/>
      <c r="D31" s="22"/>
    </row>
    <row r="32" spans="2:4">
      <c r="B32" s="4" t="s">
        <v>45</v>
      </c>
      <c r="C32" s="4"/>
      <c r="D32" s="4"/>
    </row>
    <row r="33" spans="2:4">
      <c r="B33" s="5">
        <f>+B4</f>
        <v>2022</v>
      </c>
      <c r="C33" s="5">
        <f t="shared" ref="C33:D33" si="8">+C4</f>
        <v>2021</v>
      </c>
      <c r="D33" s="5">
        <f t="shared" si="8"/>
        <v>2020</v>
      </c>
    </row>
    <row r="35" spans="1:1">
      <c r="A35" t="s">
        <v>46</v>
      </c>
    </row>
    <row r="36" spans="1:4">
      <c r="A36" s="7" t="s">
        <v>47</v>
      </c>
      <c r="B36" s="23">
        <v>23646</v>
      </c>
      <c r="C36" s="23">
        <v>34940</v>
      </c>
      <c r="D36" s="23">
        <v>38016</v>
      </c>
    </row>
    <row r="37" spans="1:4">
      <c r="A37" s="7" t="s">
        <v>48</v>
      </c>
      <c r="B37" s="23">
        <v>24658</v>
      </c>
      <c r="C37" s="23">
        <v>27699</v>
      </c>
      <c r="D37" s="23">
        <v>52927</v>
      </c>
    </row>
    <row r="38" spans="1:4">
      <c r="A38" s="7" t="s">
        <v>49</v>
      </c>
      <c r="B38" s="23">
        <v>28184</v>
      </c>
      <c r="C38" s="23">
        <v>26278</v>
      </c>
      <c r="D38" s="23">
        <v>16120</v>
      </c>
    </row>
    <row r="39" spans="1:4">
      <c r="A39" s="7" t="s">
        <v>50</v>
      </c>
      <c r="B39" s="23">
        <v>4946</v>
      </c>
      <c r="C39" s="23">
        <v>6580</v>
      </c>
      <c r="D39" s="23">
        <v>4061</v>
      </c>
    </row>
    <row r="40" spans="1:4">
      <c r="A40" s="7" t="s">
        <v>51</v>
      </c>
      <c r="B40" s="23">
        <v>32748</v>
      </c>
      <c r="C40" s="23">
        <v>25228</v>
      </c>
      <c r="D40" s="23">
        <v>21325</v>
      </c>
    </row>
    <row r="41" spans="1:4">
      <c r="A41" s="7" t="s">
        <v>52</v>
      </c>
      <c r="B41" s="23">
        <v>21223</v>
      </c>
      <c r="C41" s="23">
        <v>14111</v>
      </c>
      <c r="D41" s="23">
        <v>11264</v>
      </c>
    </row>
    <row r="42" spans="1:4">
      <c r="A42" s="24" t="s">
        <v>53</v>
      </c>
      <c r="B42" s="25">
        <f>+SUM(B36:B41)</f>
        <v>135405</v>
      </c>
      <c r="C42" s="25">
        <f t="shared" ref="C42:D42" si="9">+SUM(C36:C41)</f>
        <v>134836</v>
      </c>
      <c r="D42" s="25">
        <f t="shared" si="9"/>
        <v>143713</v>
      </c>
    </row>
    <row r="43" spans="1:4">
      <c r="A43" t="s">
        <v>54</v>
      </c>
      <c r="B43" s="23"/>
      <c r="C43" s="23"/>
      <c r="D43" s="23"/>
    </row>
    <row r="44" spans="1:4">
      <c r="A44" s="7" t="s">
        <v>48</v>
      </c>
      <c r="B44" s="23">
        <v>120805</v>
      </c>
      <c r="C44" s="23">
        <v>127877</v>
      </c>
      <c r="D44" s="23">
        <v>100887</v>
      </c>
    </row>
    <row r="45" spans="1:8">
      <c r="A45" s="7" t="s">
        <v>55</v>
      </c>
      <c r="B45" s="23">
        <v>42117</v>
      </c>
      <c r="C45" s="23">
        <v>39440</v>
      </c>
      <c r="D45" s="23">
        <v>36766</v>
      </c>
      <c r="F45" s="13"/>
      <c r="G45" s="13"/>
      <c r="H45" s="13"/>
    </row>
    <row r="46" spans="1:4">
      <c r="A46" s="7" t="s">
        <v>56</v>
      </c>
      <c r="B46" s="23">
        <v>54428</v>
      </c>
      <c r="C46" s="23">
        <v>48849</v>
      </c>
      <c r="D46" s="23">
        <v>42522</v>
      </c>
    </row>
    <row r="47" spans="1:4">
      <c r="A47" s="24" t="s">
        <v>57</v>
      </c>
      <c r="B47" s="25">
        <f>+SUM(B44:B46)</f>
        <v>217350</v>
      </c>
      <c r="C47" s="25">
        <f t="shared" ref="C47:D47" si="10">+SUM(C44:C46)</f>
        <v>216166</v>
      </c>
      <c r="D47" s="25">
        <f t="shared" si="10"/>
        <v>180175</v>
      </c>
    </row>
    <row r="48" ht="15" spans="1:4">
      <c r="A48" s="26" t="s">
        <v>58</v>
      </c>
      <c r="B48" s="27">
        <f>+B42+B47</f>
        <v>352755</v>
      </c>
      <c r="C48" s="27">
        <f t="shared" ref="C48:D48" si="11">+C42+C47</f>
        <v>351002</v>
      </c>
      <c r="D48" s="27">
        <f t="shared" si="11"/>
        <v>323888</v>
      </c>
    </row>
    <row r="49" ht="15"/>
    <row r="50" spans="1:1">
      <c r="A50" t="s">
        <v>59</v>
      </c>
    </row>
    <row r="51" spans="1:4">
      <c r="A51" s="7" t="s">
        <v>60</v>
      </c>
      <c r="B51" s="23">
        <v>64115</v>
      </c>
      <c r="C51" s="23">
        <v>54763</v>
      </c>
      <c r="D51" s="23">
        <v>42296</v>
      </c>
    </row>
    <row r="52" spans="1:4">
      <c r="A52" s="7" t="s">
        <v>61</v>
      </c>
      <c r="B52" s="23">
        <v>60845</v>
      </c>
      <c r="C52" s="23">
        <v>47493</v>
      </c>
      <c r="D52" s="23">
        <v>42684</v>
      </c>
    </row>
    <row r="53" spans="1:4">
      <c r="A53" s="7" t="s">
        <v>62</v>
      </c>
      <c r="B53" s="23">
        <v>7912</v>
      </c>
      <c r="C53" s="23">
        <v>7612</v>
      </c>
      <c r="D53" s="23">
        <v>6643</v>
      </c>
    </row>
    <row r="54" spans="1:4">
      <c r="A54" s="7" t="s">
        <v>63</v>
      </c>
      <c r="B54" s="23">
        <v>9982</v>
      </c>
      <c r="C54" s="23">
        <v>6000</v>
      </c>
      <c r="D54" s="23">
        <v>4996</v>
      </c>
    </row>
    <row r="55" spans="1:4">
      <c r="A55" s="7" t="s">
        <v>64</v>
      </c>
      <c r="B55" s="23">
        <v>11128</v>
      </c>
      <c r="C55" s="23">
        <v>9613</v>
      </c>
      <c r="D55" s="23">
        <v>8773</v>
      </c>
    </row>
    <row r="56" spans="1:4">
      <c r="A56" s="24" t="s">
        <v>65</v>
      </c>
      <c r="B56" s="25">
        <f>+SUM(B51:B55)</f>
        <v>153982</v>
      </c>
      <c r="C56" s="25">
        <f t="shared" ref="C56:D56" si="12">+SUM(C51:C55)</f>
        <v>125481</v>
      </c>
      <c r="D56" s="25">
        <f t="shared" si="12"/>
        <v>105392</v>
      </c>
    </row>
    <row r="57" spans="1:4">
      <c r="A57" t="s">
        <v>66</v>
      </c>
      <c r="B57" s="23"/>
      <c r="C57" s="23"/>
      <c r="D57" s="23"/>
    </row>
    <row r="58" spans="1:4">
      <c r="A58" s="7" t="s">
        <v>62</v>
      </c>
      <c r="B58" s="23"/>
      <c r="C58" s="23"/>
      <c r="D58" s="23"/>
    </row>
    <row r="59" spans="1:4">
      <c r="A59" s="7" t="s">
        <v>64</v>
      </c>
      <c r="B59" s="23">
        <v>98959</v>
      </c>
      <c r="C59" s="23">
        <v>109106</v>
      </c>
      <c r="D59" s="23">
        <v>98667</v>
      </c>
    </row>
    <row r="60" spans="1:4">
      <c r="A60" s="7" t="s">
        <v>67</v>
      </c>
      <c r="B60" s="23">
        <v>49142</v>
      </c>
      <c r="C60" s="23">
        <v>53325</v>
      </c>
      <c r="D60" s="23">
        <v>54490</v>
      </c>
    </row>
    <row r="61" spans="1:4">
      <c r="A61" s="29" t="s">
        <v>68</v>
      </c>
      <c r="B61" s="30">
        <f>+B59+B60</f>
        <v>148101</v>
      </c>
      <c r="C61" s="30">
        <f t="shared" ref="C61:D61" si="13">+C59+C60</f>
        <v>162431</v>
      </c>
      <c r="D61" s="30">
        <f t="shared" si="13"/>
        <v>153157</v>
      </c>
    </row>
    <row r="62" spans="1:4">
      <c r="A62" s="24" t="s">
        <v>69</v>
      </c>
      <c r="B62" s="25">
        <f>+B56+B61</f>
        <v>302083</v>
      </c>
      <c r="C62" s="25">
        <f t="shared" ref="C62:D62" si="14">+C56+C61</f>
        <v>287912</v>
      </c>
      <c r="D62" s="25">
        <f t="shared" si="14"/>
        <v>258549</v>
      </c>
    </row>
    <row r="63" spans="2:4">
      <c r="B63" s="23"/>
      <c r="C63" s="23"/>
      <c r="D63" s="23"/>
    </row>
    <row r="64" spans="1:4">
      <c r="A64" t="s">
        <v>70</v>
      </c>
      <c r="B64" s="23"/>
      <c r="C64" s="23"/>
      <c r="D64" s="23"/>
    </row>
    <row r="65" spans="1:4">
      <c r="A65" s="7" t="s">
        <v>71</v>
      </c>
      <c r="B65" s="23">
        <v>64849</v>
      </c>
      <c r="C65" s="23">
        <v>57365</v>
      </c>
      <c r="D65" s="23">
        <v>50779</v>
      </c>
    </row>
    <row r="66" spans="1:4">
      <c r="A66" s="7" t="s">
        <v>72</v>
      </c>
      <c r="B66" s="23">
        <v>-3068</v>
      </c>
      <c r="C66" s="23">
        <v>5562</v>
      </c>
      <c r="D66" s="23">
        <v>14966</v>
      </c>
    </row>
    <row r="67" spans="1:4">
      <c r="A67" s="7" t="s">
        <v>73</v>
      </c>
      <c r="B67" s="23">
        <v>-11109</v>
      </c>
      <c r="C67" s="23">
        <v>163</v>
      </c>
      <c r="D67" s="23">
        <v>-406</v>
      </c>
    </row>
    <row r="68" spans="1:4">
      <c r="A68" s="24" t="s">
        <v>74</v>
      </c>
      <c r="B68" s="25">
        <f>+SUM(B65:B67)</f>
        <v>50672</v>
      </c>
      <c r="C68" s="25">
        <f t="shared" ref="C68:D68" si="15">+SUM(C65:C67)</f>
        <v>63090</v>
      </c>
      <c r="D68" s="25">
        <f t="shared" si="15"/>
        <v>65339</v>
      </c>
    </row>
    <row r="69" ht="15" spans="1:4">
      <c r="A69" s="26" t="s">
        <v>75</v>
      </c>
      <c r="B69" s="27">
        <f>+B68+B62</f>
        <v>352755</v>
      </c>
      <c r="C69" s="27">
        <f t="shared" ref="C69:D69" si="16">+C68+C62</f>
        <v>351002</v>
      </c>
      <c r="D69" s="27">
        <f t="shared" si="16"/>
        <v>323888</v>
      </c>
    </row>
    <row r="70" ht="15"/>
    <row r="71" spans="1:4">
      <c r="A71" s="22" t="s">
        <v>76</v>
      </c>
      <c r="B71" s="22"/>
      <c r="C71" s="22"/>
      <c r="D71" s="22"/>
    </row>
    <row r="72" spans="2:4">
      <c r="B72" s="4" t="s">
        <v>24</v>
      </c>
      <c r="C72" s="4"/>
      <c r="D72" s="4"/>
    </row>
    <row r="73" spans="2:4">
      <c r="B73" s="5">
        <f>+B33</f>
        <v>2022</v>
      </c>
      <c r="C73" s="5">
        <f t="shared" ref="C73:D73" si="17">+C33</f>
        <v>2021</v>
      </c>
      <c r="D73" s="5">
        <f t="shared" si="17"/>
        <v>2020</v>
      </c>
    </row>
    <row r="75" spans="1:4">
      <c r="A75" s="5" t="s">
        <v>77</v>
      </c>
      <c r="B75" s="31"/>
      <c r="C75" s="31"/>
      <c r="D75" s="31"/>
    </row>
    <row r="76" spans="1:4">
      <c r="A76" t="s">
        <v>78</v>
      </c>
      <c r="B76" s="23">
        <f>+B22</f>
        <v>99803</v>
      </c>
      <c r="C76" s="23">
        <f t="shared" ref="C76:D76" si="18">+C22</f>
        <v>94680</v>
      </c>
      <c r="D76" s="23">
        <f t="shared" si="18"/>
        <v>57411</v>
      </c>
    </row>
    <row r="77" spans="1:4">
      <c r="A77" s="32" t="s">
        <v>39</v>
      </c>
      <c r="B77" s="31"/>
      <c r="C77" s="31"/>
      <c r="D77" s="31"/>
    </row>
    <row r="78" spans="1:4">
      <c r="A78" s="7" t="s">
        <v>79</v>
      </c>
      <c r="B78" s="23"/>
      <c r="C78" s="23"/>
      <c r="D78" s="23"/>
    </row>
    <row r="79" spans="1:4">
      <c r="A79" s="12" t="s">
        <v>80</v>
      </c>
      <c r="B79" s="23">
        <v>11104</v>
      </c>
      <c r="C79" s="23">
        <v>11284</v>
      </c>
      <c r="D79" s="23">
        <v>11056</v>
      </c>
    </row>
    <row r="80" spans="1:4">
      <c r="A80" s="12" t="s">
        <v>81</v>
      </c>
      <c r="B80" s="23">
        <v>9038</v>
      </c>
      <c r="C80" s="23">
        <v>7906</v>
      </c>
      <c r="D80" s="23">
        <v>6829</v>
      </c>
    </row>
    <row r="81" spans="1:4">
      <c r="A81" s="12" t="s">
        <v>82</v>
      </c>
      <c r="B81" s="23">
        <v>895</v>
      </c>
      <c r="C81" s="23">
        <v>-4774</v>
      </c>
      <c r="D81" s="23">
        <v>-215</v>
      </c>
    </row>
    <row r="82" spans="1:4">
      <c r="A82" s="12" t="s">
        <v>83</v>
      </c>
      <c r="B82" s="23">
        <v>111</v>
      </c>
      <c r="C82" s="23">
        <v>-147</v>
      </c>
      <c r="D82" s="23">
        <v>-97</v>
      </c>
    </row>
    <row r="83" spans="1:4">
      <c r="A83" t="s">
        <v>84</v>
      </c>
      <c r="B83" s="23"/>
      <c r="C83" s="23"/>
      <c r="D83" s="23"/>
    </row>
    <row r="84" spans="1:4">
      <c r="A84" s="7" t="s">
        <v>49</v>
      </c>
      <c r="B84" s="23">
        <v>-1823</v>
      </c>
      <c r="C84" s="23">
        <v>-10125</v>
      </c>
      <c r="D84" s="23">
        <v>6917</v>
      </c>
    </row>
    <row r="85" spans="1:4">
      <c r="A85" s="7" t="s">
        <v>50</v>
      </c>
      <c r="B85" s="23">
        <v>1484</v>
      </c>
      <c r="C85" s="23">
        <v>-2642</v>
      </c>
      <c r="D85" s="23">
        <v>-127</v>
      </c>
    </row>
    <row r="86" spans="1:4">
      <c r="A86" s="7" t="s">
        <v>51</v>
      </c>
      <c r="B86" s="23">
        <v>-7520</v>
      </c>
      <c r="C86" s="23">
        <v>-3903</v>
      </c>
      <c r="D86" s="23">
        <v>1553</v>
      </c>
    </row>
    <row r="87" spans="1:4">
      <c r="A87" s="7" t="s">
        <v>85</v>
      </c>
      <c r="B87" s="23">
        <v>-6499</v>
      </c>
      <c r="C87" s="23">
        <v>-8042</v>
      </c>
      <c r="D87" s="23">
        <v>-9588</v>
      </c>
    </row>
    <row r="88" spans="1:4">
      <c r="A88" s="7" t="s">
        <v>60</v>
      </c>
      <c r="B88" s="23">
        <v>9448</v>
      </c>
      <c r="C88" s="23">
        <v>12326</v>
      </c>
      <c r="D88" s="23">
        <v>-4062</v>
      </c>
    </row>
    <row r="89" spans="1:4">
      <c r="A89" s="7" t="s">
        <v>62</v>
      </c>
      <c r="B89" s="23">
        <v>478</v>
      </c>
      <c r="C89" s="23">
        <v>1676</v>
      </c>
      <c r="D89" s="23">
        <v>2081</v>
      </c>
    </row>
    <row r="90" spans="1:4">
      <c r="A90" s="7" t="s">
        <v>86</v>
      </c>
      <c r="B90" s="23">
        <v>5632</v>
      </c>
      <c r="C90" s="23">
        <v>5799</v>
      </c>
      <c r="D90" s="23">
        <v>8916</v>
      </c>
    </row>
    <row r="91" spans="1:4">
      <c r="A91" s="24" t="s">
        <v>87</v>
      </c>
      <c r="B91" s="25">
        <f>+SUM(B76:B90)</f>
        <v>122151</v>
      </c>
      <c r="C91" s="25">
        <f t="shared" ref="C91:D91" si="19">+SUM(C76:C90)</f>
        <v>104038</v>
      </c>
      <c r="D91" s="25">
        <f t="shared" si="19"/>
        <v>80674</v>
      </c>
    </row>
    <row r="92" spans="1:4">
      <c r="A92" s="5" t="s">
        <v>88</v>
      </c>
      <c r="B92" s="23"/>
      <c r="C92" s="23"/>
      <c r="D92" s="23"/>
    </row>
    <row r="93" spans="1:4">
      <c r="A93" s="7" t="s">
        <v>89</v>
      </c>
      <c r="B93" s="23">
        <v>-76923</v>
      </c>
      <c r="C93" s="23">
        <v>-109558</v>
      </c>
      <c r="D93" s="23">
        <v>-114938</v>
      </c>
    </row>
    <row r="94" spans="1:4">
      <c r="A94" s="7" t="s">
        <v>90</v>
      </c>
      <c r="B94" s="23">
        <v>29917</v>
      </c>
      <c r="C94" s="23">
        <v>59023</v>
      </c>
      <c r="D94" s="23">
        <v>69918</v>
      </c>
    </row>
    <row r="95" spans="1:4">
      <c r="A95" s="7" t="s">
        <v>91</v>
      </c>
      <c r="B95" s="23">
        <v>37446</v>
      </c>
      <c r="C95" s="23">
        <v>47460</v>
      </c>
      <c r="D95" s="23">
        <v>50473</v>
      </c>
    </row>
    <row r="96" spans="1:4">
      <c r="A96" s="7" t="s">
        <v>92</v>
      </c>
      <c r="B96" s="23">
        <v>-10708</v>
      </c>
      <c r="C96" s="23">
        <v>-11085</v>
      </c>
      <c r="D96" s="23">
        <v>-7309</v>
      </c>
    </row>
    <row r="97" spans="1:4">
      <c r="A97" s="7" t="s">
        <v>93</v>
      </c>
      <c r="B97" s="23">
        <v>-306</v>
      </c>
      <c r="C97" s="23">
        <v>-33</v>
      </c>
      <c r="D97" s="23">
        <v>-1524</v>
      </c>
    </row>
    <row r="98" spans="1:4">
      <c r="A98" s="7" t="s">
        <v>83</v>
      </c>
      <c r="B98" s="23">
        <v>-1780</v>
      </c>
      <c r="C98" s="23">
        <v>-352</v>
      </c>
      <c r="D98" s="23">
        <v>-909</v>
      </c>
    </row>
    <row r="99" spans="1:4">
      <c r="A99" s="24" t="s">
        <v>94</v>
      </c>
      <c r="B99" s="25">
        <f>+SUM(B93:B98)</f>
        <v>-22354</v>
      </c>
      <c r="C99" s="25">
        <f t="shared" ref="C99:D99" si="20">+SUM(C93:C98)</f>
        <v>-14545</v>
      </c>
      <c r="D99" s="25">
        <f t="shared" si="20"/>
        <v>-4289</v>
      </c>
    </row>
    <row r="100" spans="1:4">
      <c r="A100" s="5" t="s">
        <v>95</v>
      </c>
      <c r="B100" s="23"/>
      <c r="C100" s="23"/>
      <c r="D100" s="23"/>
    </row>
    <row r="101" spans="1:4">
      <c r="A101" s="7" t="s">
        <v>96</v>
      </c>
      <c r="B101" s="23">
        <v>-6223</v>
      </c>
      <c r="C101" s="23">
        <v>-6556</v>
      </c>
      <c r="D101" s="23">
        <v>-3634</v>
      </c>
    </row>
    <row r="102" spans="1:4">
      <c r="A102" s="7" t="s">
        <v>97</v>
      </c>
      <c r="B102" s="23">
        <v>-14841</v>
      </c>
      <c r="C102" s="23">
        <v>-14467</v>
      </c>
      <c r="D102" s="23">
        <v>-14081</v>
      </c>
    </row>
    <row r="103" spans="1:4">
      <c r="A103" s="7" t="s">
        <v>98</v>
      </c>
      <c r="B103" s="23">
        <v>-89402</v>
      </c>
      <c r="C103" s="23">
        <v>-85971</v>
      </c>
      <c r="D103" s="23">
        <v>-72358</v>
      </c>
    </row>
    <row r="104" spans="1:4">
      <c r="A104" s="7" t="s">
        <v>99</v>
      </c>
      <c r="B104" s="23">
        <v>5465</v>
      </c>
      <c r="C104" s="23">
        <v>20393</v>
      </c>
      <c r="D104" s="23">
        <v>16091</v>
      </c>
    </row>
    <row r="105" spans="1:4">
      <c r="A105" s="7" t="s">
        <v>100</v>
      </c>
      <c r="B105" s="23">
        <v>-9543</v>
      </c>
      <c r="C105" s="23">
        <v>-8750</v>
      </c>
      <c r="D105" s="23">
        <v>-12629</v>
      </c>
    </row>
    <row r="106" spans="1:4">
      <c r="A106" s="7" t="s">
        <v>101</v>
      </c>
      <c r="B106" s="23">
        <v>3955</v>
      </c>
      <c r="C106" s="23">
        <v>1022</v>
      </c>
      <c r="D106" s="23">
        <v>-963</v>
      </c>
    </row>
    <row r="107" spans="1:4">
      <c r="A107" s="7" t="s">
        <v>83</v>
      </c>
      <c r="B107" s="23">
        <v>-160</v>
      </c>
      <c r="C107" s="23">
        <v>976</v>
      </c>
      <c r="D107" s="23">
        <v>754</v>
      </c>
    </row>
    <row r="108" spans="1:4">
      <c r="A108" s="24" t="s">
        <v>102</v>
      </c>
      <c r="B108" s="25">
        <f>+SUM(B101:B107)</f>
        <v>-110749</v>
      </c>
      <c r="C108" s="25">
        <f t="shared" ref="C108:D108" si="21">+SUM(C101:C107)</f>
        <v>-93353</v>
      </c>
      <c r="D108" s="25">
        <f t="shared" si="21"/>
        <v>-86820</v>
      </c>
    </row>
    <row r="109" spans="1:4">
      <c r="A109" s="24" t="s">
        <v>103</v>
      </c>
      <c r="B109" s="25">
        <f>+B91+B99+B108</f>
        <v>-10952</v>
      </c>
      <c r="C109" s="25">
        <f t="shared" ref="C109:D109" si="22">+C91+C99+C108</f>
        <v>-3860</v>
      </c>
      <c r="D109" s="25">
        <f t="shared" si="22"/>
        <v>-10435</v>
      </c>
    </row>
    <row r="110" ht="15" spans="1:4">
      <c r="A110" s="26" t="s">
        <v>104</v>
      </c>
      <c r="B110" s="27">
        <v>24977</v>
      </c>
      <c r="C110" s="27">
        <v>35929</v>
      </c>
      <c r="D110" s="27">
        <v>39789</v>
      </c>
    </row>
    <row r="111" ht="15" spans="2:4">
      <c r="B111" s="23"/>
      <c r="C111" s="23"/>
      <c r="D111" s="23"/>
    </row>
    <row r="112" spans="1:4">
      <c r="A112" t="s">
        <v>105</v>
      </c>
      <c r="B112" s="23"/>
      <c r="C112" s="23"/>
      <c r="D112" s="23"/>
    </row>
    <row r="113" spans="1:4">
      <c r="A113" t="s">
        <v>106</v>
      </c>
      <c r="B113" s="23">
        <v>19573</v>
      </c>
      <c r="C113" s="23">
        <v>25385</v>
      </c>
      <c r="D113" s="23">
        <v>9501</v>
      </c>
    </row>
    <row r="114" spans="1:4">
      <c r="A114" t="s">
        <v>107</v>
      </c>
      <c r="B114" s="23">
        <v>2865</v>
      </c>
      <c r="C114" s="23">
        <v>2687</v>
      </c>
      <c r="D114" s="23">
        <v>3002</v>
      </c>
    </row>
  </sheetData>
  <mergeCells count="6">
    <mergeCell ref="A2:D2"/>
    <mergeCell ref="B3:D3"/>
    <mergeCell ref="A31:D31"/>
    <mergeCell ref="B32:D32"/>
    <mergeCell ref="A71:D71"/>
    <mergeCell ref="B72:D7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topLeftCell="A42" workbookViewId="0">
      <selection activeCell="C45" sqref="C45"/>
    </sheetView>
  </sheetViews>
  <sheetFormatPr defaultColWidth="9" defaultRowHeight="14.25"/>
  <cols>
    <col min="1" max="1" width="4.66363636363636" customWidth="1"/>
    <col min="2" max="2" width="44.8909090909091" customWidth="1"/>
    <col min="3" max="3" width="12.8636363636364"/>
    <col min="4" max="5" width="14"/>
  </cols>
  <sheetData>
    <row r="1" ht="60" customHeight="1" spans="1:10">
      <c r="A1" s="1"/>
      <c r="B1" s="2" t="s">
        <v>21</v>
      </c>
      <c r="C1" s="3"/>
      <c r="D1" s="3"/>
      <c r="E1" s="3"/>
      <c r="F1" s="3"/>
      <c r="G1" s="3"/>
      <c r="H1" s="3"/>
      <c r="I1" s="3"/>
      <c r="J1" s="3"/>
    </row>
    <row r="2" spans="3:5">
      <c r="C2" s="4" t="s">
        <v>24</v>
      </c>
      <c r="D2" s="4"/>
      <c r="E2" s="4"/>
    </row>
    <row r="3" spans="3:5">
      <c r="C3" s="5">
        <f>+'Financial Statements'!B4</f>
        <v>2022</v>
      </c>
      <c r="D3" s="5">
        <f>+'Financial Statements'!C4</f>
        <v>2021</v>
      </c>
      <c r="E3" s="5">
        <f>+'Financial Statements'!D4</f>
        <v>2020</v>
      </c>
    </row>
    <row r="4" spans="1:2">
      <c r="A4" s="6">
        <v>1</v>
      </c>
      <c r="B4" s="5" t="s">
        <v>108</v>
      </c>
    </row>
    <row r="5" spans="1:5">
      <c r="A5" s="6">
        <f>+A4+0.1</f>
        <v>1.1</v>
      </c>
      <c r="B5" s="7" t="s">
        <v>109</v>
      </c>
      <c r="C5" s="8">
        <f>'Financial Statements'!B42/'Financial Statements'!B56</f>
        <v>0.879356028626723</v>
      </c>
      <c r="D5" s="8">
        <f>'Financial Statements'!C42/'Financial Statements'!C56</f>
        <v>1.0745531195958</v>
      </c>
      <c r="E5" s="8">
        <f>'Financial Statements'!D42/'Financial Statements'!D56</f>
        <v>1.36360444815546</v>
      </c>
    </row>
    <row r="6" spans="1:5">
      <c r="A6" s="6">
        <f t="shared" ref="A6:A13" si="0">+A5+0.1</f>
        <v>1.2</v>
      </c>
      <c r="B6" s="7" t="s">
        <v>110</v>
      </c>
      <c r="C6" s="9">
        <f>('Financial Statements'!B42-'Financial Statements'!B39)/'Financial Statements'!B56</f>
        <v>0.847235391149615</v>
      </c>
      <c r="D6" s="9">
        <f>('Financial Statements'!C42-'Financial Statements'!C39)/'Financial Statements'!C56</f>
        <v>1.02211490185765</v>
      </c>
      <c r="E6" s="9">
        <f>('Financial Statements'!D42-'Financial Statements'!D39)/'Financial Statements'!D56</f>
        <v>1.32507211173524</v>
      </c>
    </row>
    <row r="7" spans="1:5">
      <c r="A7" s="6">
        <f t="shared" si="0"/>
        <v>1.3</v>
      </c>
      <c r="B7" s="7" t="s">
        <v>111</v>
      </c>
      <c r="C7" s="9">
        <f>'Financial Statements'!B36/'Financial Statements'!B56</f>
        <v>0.153563403514697</v>
      </c>
      <c r="D7" s="9">
        <f>'Financial Statements'!C36/'Financial Statements'!C56</f>
        <v>0.278448530056343</v>
      </c>
      <c r="E7" s="9">
        <f>'Financial Statements'!D36/'Financial Statements'!D56</f>
        <v>0.3607104903598</v>
      </c>
    </row>
    <row r="8" spans="1:5">
      <c r="A8" s="6">
        <f t="shared" si="0"/>
        <v>1.4</v>
      </c>
      <c r="B8" s="7" t="s">
        <v>112</v>
      </c>
      <c r="C8" s="8">
        <f>('Financial Statements'!B36+'Financial Statements'!B37+'Financial Statements'!B38)/(('Financial Statements'!B17-'Financial Statements'!B79)/365)</f>
        <v>693.773017569146</v>
      </c>
      <c r="D8" s="8">
        <f>('Financial Statements'!C36+'Financial Statements'!C37+'Financial Statements'!C38)/(('Financial Statements'!C17-'Financial Statements'!C79)/365)</f>
        <v>995.45149219397</v>
      </c>
      <c r="E8" s="8">
        <f>('Financial Statements'!D36+'Financial Statements'!D37+'Financial Statements'!D38)/(('Financial Statements'!D17-'Financial Statements'!D79)/365)</f>
        <v>1415.25405620745</v>
      </c>
    </row>
    <row r="9" spans="1:5">
      <c r="A9" s="6">
        <f t="shared" si="0"/>
        <v>1.5</v>
      </c>
      <c r="B9" s="7" t="s">
        <v>113</v>
      </c>
      <c r="C9" s="8">
        <f>365/('Financial Statements'!B12/'Financial Statements'!B39)</f>
        <v>8.07569806661716</v>
      </c>
      <c r="D9" s="8">
        <f>365/('Financial Statements'!C12/'Financial Statements'!C39)</f>
        <v>11.2765927477099</v>
      </c>
      <c r="E9" s="8">
        <f>365/('Financial Statements'!D12/'Financial Statements'!D39)</f>
        <v>8.74188335623588</v>
      </c>
    </row>
    <row r="10" spans="1:5">
      <c r="A10" s="6">
        <f t="shared" si="0"/>
        <v>1.6</v>
      </c>
      <c r="B10" s="7" t="s">
        <v>114</v>
      </c>
      <c r="C10" s="8">
        <f>365/('Financial Statements'!B12/'Financial Statements'!B51)</f>
        <v>104.685277303105</v>
      </c>
      <c r="D10" s="8">
        <f>365/('Financial Statements'!C12/'Financial Statements'!C51)</f>
        <v>93.8510712223156</v>
      </c>
      <c r="E10" s="8">
        <f>365/('Financial Statements'!D12/'Financial Statements'!D51)</f>
        <v>91.0481897156742</v>
      </c>
    </row>
    <row r="11" spans="1:5">
      <c r="A11" s="6">
        <f t="shared" si="0"/>
        <v>1.7</v>
      </c>
      <c r="B11" s="7" t="s">
        <v>115</v>
      </c>
      <c r="C11" s="8">
        <f>365/('Financial Statements'!B12/'Financial Statements'!B38)</f>
        <v>46.0180902364614</v>
      </c>
      <c r="D11" s="8">
        <f>365/('Financial Statements'!C12/'Financial Statements'!C38)</f>
        <v>45.0343927392584</v>
      </c>
      <c r="E11" s="8">
        <f>365/('Financial Statements'!D12/'Financial Statements'!D38)</f>
        <v>34.7006056888753</v>
      </c>
    </row>
    <row r="12" spans="1:5">
      <c r="A12" s="6">
        <f t="shared" si="0"/>
        <v>1.8</v>
      </c>
      <c r="B12" s="7" t="s">
        <v>116</v>
      </c>
      <c r="C12" s="10">
        <f>C11+C9</f>
        <v>54.0937883030786</v>
      </c>
      <c r="D12" s="10">
        <f>D11+D9</f>
        <v>56.3109854869683</v>
      </c>
      <c r="E12" s="10">
        <f>E11+E9</f>
        <v>43.4424890451111</v>
      </c>
    </row>
    <row r="13" spans="1:5">
      <c r="A13" s="6">
        <f t="shared" si="0"/>
        <v>1.9</v>
      </c>
      <c r="B13" s="7" t="s">
        <v>117</v>
      </c>
      <c r="C13" s="11">
        <f>C14/'Financial Statements'!B8</f>
        <v>-0.0471105272767848</v>
      </c>
      <c r="D13" s="11">
        <f>D14/'Financial Statements'!C8</f>
        <v>0.0255728957374862</v>
      </c>
      <c r="E13" s="11">
        <f>E14/'Financial Statements'!D8</f>
        <v>0.139595286232082</v>
      </c>
    </row>
    <row r="14" spans="1:5">
      <c r="A14" s="6"/>
      <c r="B14" s="12" t="s">
        <v>118</v>
      </c>
      <c r="C14" s="13">
        <f>'Financial Statements'!B42-'Financial Statements'!B56</f>
        <v>-18577</v>
      </c>
      <c r="D14" s="13">
        <f>'Financial Statements'!C42-'Financial Statements'!C56</f>
        <v>9355</v>
      </c>
      <c r="E14" s="13">
        <f>'Financial Statements'!D42-'Financial Statements'!D56</f>
        <v>38321</v>
      </c>
    </row>
    <row r="15" spans="1:1">
      <c r="A15" s="6"/>
    </row>
    <row r="16" spans="1:2">
      <c r="A16" s="6">
        <f>+A4+1</f>
        <v>2</v>
      </c>
      <c r="B16" s="14" t="s">
        <v>119</v>
      </c>
    </row>
    <row r="17" spans="1:5">
      <c r="A17" s="6">
        <f>+A16+0.1</f>
        <v>2.1</v>
      </c>
      <c r="B17" s="7" t="s">
        <v>31</v>
      </c>
      <c r="C17" s="8">
        <f>'Financial Statements'!B13/'Financial Statements'!B8</f>
        <v>0.433096305613601</v>
      </c>
      <c r="D17" s="8">
        <f>'Financial Statements'!C13/'Financial Statements'!C8</f>
        <v>0.417793596251678</v>
      </c>
      <c r="E17" s="8">
        <f>'Financial Statements'!D13/'Financial Statements'!D8</f>
        <v>0.382332477278109</v>
      </c>
    </row>
    <row r="18" spans="1:5">
      <c r="A18" s="6">
        <f>+A17+0.1</f>
        <v>2.2</v>
      </c>
      <c r="B18" s="7" t="s">
        <v>120</v>
      </c>
      <c r="C18" s="8">
        <f>$C$19/'Financial Statements'!B8</f>
        <v>0.30204043334483</v>
      </c>
      <c r="D18" s="8">
        <f>$C$19/'Financial Statements'!C8</f>
        <v>0.325580823198484</v>
      </c>
      <c r="E18" s="8">
        <f>$C$19/'Financial Statements'!D8</f>
        <v>0.43386700180318</v>
      </c>
    </row>
    <row r="19" spans="1:5">
      <c r="A19" s="6"/>
      <c r="B19" s="12" t="s">
        <v>121</v>
      </c>
      <c r="C19" s="8">
        <f>'Financial Statements'!B22+'Financial Statements'!B21</f>
        <v>119103</v>
      </c>
      <c r="D19" s="8">
        <f>'Financial Statements'!C22+'Financial Statements'!C21</f>
        <v>109207</v>
      </c>
      <c r="E19" s="8">
        <f>'Financial Statements'!D22+'Financial Statements'!D21</f>
        <v>67091</v>
      </c>
    </row>
    <row r="20" spans="1:5">
      <c r="A20" s="6">
        <f>+A18+0.1</f>
        <v>2.3</v>
      </c>
      <c r="B20" s="7" t="s">
        <v>122</v>
      </c>
      <c r="C20" s="8">
        <f>C21/'Financial Statements'!B8</f>
        <v>0.302887443955286</v>
      </c>
      <c r="D20" s="8">
        <f>D21/'Financial Statements'!C8</f>
        <v>0.297823775275616</v>
      </c>
      <c r="E20" s="8">
        <f>E21/'Financial Statements'!D8</f>
        <v>0.241473143544069</v>
      </c>
    </row>
    <row r="21" spans="1:5">
      <c r="A21" s="6"/>
      <c r="B21" s="12" t="s">
        <v>123</v>
      </c>
      <c r="C21" s="8">
        <f>'Financial Statements'!B18</f>
        <v>119437</v>
      </c>
      <c r="D21" s="8">
        <f>'Financial Statements'!C18</f>
        <v>108949</v>
      </c>
      <c r="E21" s="8">
        <f>'Financial Statements'!D18</f>
        <v>66288</v>
      </c>
    </row>
    <row r="22" spans="1:5">
      <c r="A22" s="6">
        <f>+A20+0.1</f>
        <v>2.4</v>
      </c>
      <c r="B22" s="7" t="s">
        <v>124</v>
      </c>
      <c r="C22" s="8">
        <f>'Financial Statements'!B22/'Financial Statements'!B8</f>
        <v>0.253096407051997</v>
      </c>
      <c r="D22" s="8">
        <f>'Financial Statements'!C22/'Financial Statements'!C8</f>
        <v>0.258817933556942</v>
      </c>
      <c r="E22" s="8">
        <f>'Financial Statements'!D22/'Financial Statements'!D8</f>
        <v>0.209136112780722</v>
      </c>
    </row>
    <row r="23" spans="1:1">
      <c r="A23" s="6"/>
    </row>
    <row r="24" spans="1:2">
      <c r="A24" s="6">
        <f>+A16+1</f>
        <v>3</v>
      </c>
      <c r="B24" s="5" t="s">
        <v>125</v>
      </c>
    </row>
    <row r="25" spans="1:5">
      <c r="A25" s="6">
        <f>+A24+0.1</f>
        <v>3.1</v>
      </c>
      <c r="B25" s="7" t="s">
        <v>126</v>
      </c>
      <c r="C25" s="8">
        <f>'Financial Statements'!B62/'Financial Statements'!B68</f>
        <v>5.96153694347963</v>
      </c>
      <c r="D25" s="8">
        <f>'Financial Statements'!C62/'Financial Statements'!C68</f>
        <v>4.5635124425424</v>
      </c>
      <c r="E25" s="8">
        <f>'Financial Statements'!D62/'Financial Statements'!D68</f>
        <v>3.95703944045669</v>
      </c>
    </row>
    <row r="26" spans="1:5">
      <c r="A26" s="6">
        <f t="shared" ref="A26:A30" si="1">+A25+0.1</f>
        <v>3.2</v>
      </c>
      <c r="B26" s="7" t="s">
        <v>127</v>
      </c>
      <c r="C26" s="8">
        <f>'Financial Statements'!B62/'Financial Statements'!B48</f>
        <v>0.856353559836147</v>
      </c>
      <c r="D26" s="8">
        <f>'Financial Statements'!C62/'Financial Statements'!C48</f>
        <v>0.820257434430573</v>
      </c>
      <c r="E26" s="8">
        <f>'Financial Statements'!D62/'Financial Statements'!D48</f>
        <v>0.798266684779924</v>
      </c>
    </row>
    <row r="27" spans="1:5">
      <c r="A27" s="6">
        <f t="shared" si="1"/>
        <v>3.3</v>
      </c>
      <c r="B27" s="7" t="s">
        <v>128</v>
      </c>
      <c r="C27" s="8">
        <f>'Financial Statements'!B61/'Financial Statements'!B68</f>
        <v>2.92273839595832</v>
      </c>
      <c r="D27" s="8">
        <f>'Financial Statements'!C61/'Financial Statements'!C68</f>
        <v>2.57459185290854</v>
      </c>
      <c r="E27" s="8">
        <f>'Financial Statements'!D61/'Financial Statements'!D68</f>
        <v>2.34403648663126</v>
      </c>
    </row>
    <row r="28" spans="1:5">
      <c r="A28" s="6">
        <f t="shared" si="1"/>
        <v>3.4</v>
      </c>
      <c r="B28" s="7" t="s">
        <v>129</v>
      </c>
      <c r="C28" s="8">
        <f>'Financial Statements'!B18/'Financial Statements'!B114</f>
        <v>41.6883071553229</v>
      </c>
      <c r="D28" s="8">
        <f>'Financial Statements'!C18/'Financial Statements'!C114</f>
        <v>40.5467063639747</v>
      </c>
      <c r="E28" s="8">
        <f>'Financial Statements'!D18/'Financial Statements'!D114</f>
        <v>22.0812791472352</v>
      </c>
    </row>
    <row r="29" spans="1:5">
      <c r="A29" s="6">
        <f t="shared" si="1"/>
        <v>3.5</v>
      </c>
      <c r="B29" s="7" t="s">
        <v>130</v>
      </c>
      <c r="C29" s="8">
        <f>'Financial Statements'!B18/'Financial Statements'!B56</f>
        <v>0.775655596108636</v>
      </c>
      <c r="D29" s="8">
        <f>'Financial Statements'!C18/'Financial Statements'!C56</f>
        <v>0.868250970266415</v>
      </c>
      <c r="E29" s="8">
        <f>'Financial Statements'!D18/'Financial Statements'!D56</f>
        <v>0.628966145437984</v>
      </c>
    </row>
    <row r="30" spans="1:5">
      <c r="A30" s="6">
        <f t="shared" si="1"/>
        <v>3.6</v>
      </c>
      <c r="B30" s="7" t="s">
        <v>131</v>
      </c>
      <c r="C30" s="15">
        <f>C31/$C$53</f>
        <v>0.0225794565956661</v>
      </c>
      <c r="D30" s="15">
        <f>D31/$C$53</f>
        <v>0.0219971204962538</v>
      </c>
      <c r="E30" s="15">
        <f>E31/$C$53</f>
        <v>0.0161571453627834</v>
      </c>
    </row>
    <row r="31" spans="1:5">
      <c r="A31" s="6"/>
      <c r="B31" s="12" t="s">
        <v>132</v>
      </c>
      <c r="C31" s="13">
        <f>'Financial Statements'!B91+'Financial Statements'!B96+'Financial Statements'!B104+'Financial Statements'!B105</f>
        <v>107365</v>
      </c>
      <c r="D31" s="13">
        <f>'Financial Statements'!C91+'Financial Statements'!C96+'Financial Statements'!C104+'Financial Statements'!C105</f>
        <v>104596</v>
      </c>
      <c r="E31" s="13">
        <f>'Financial Statements'!D91+'Financial Statements'!D96+'Financial Statements'!D104+'Financial Statements'!D105</f>
        <v>76827</v>
      </c>
    </row>
    <row r="32" spans="1:1">
      <c r="A32" s="6"/>
    </row>
    <row r="33" spans="1:2">
      <c r="A33" s="6">
        <f>+A24+1</f>
        <v>4</v>
      </c>
      <c r="B33" s="14" t="s">
        <v>133</v>
      </c>
    </row>
    <row r="34" spans="1:5">
      <c r="A34" s="6">
        <f>+A33+0.1</f>
        <v>4.1</v>
      </c>
      <c r="B34" s="7" t="s">
        <v>134</v>
      </c>
      <c r="C34" s="8">
        <f>'Financial Statements'!B8/'Financial Statements'!B48</f>
        <v>1.11785233377273</v>
      </c>
      <c r="D34" s="8">
        <f>'Financial Statements'!C8/'Financial Statements'!C48</f>
        <v>1.04220773670805</v>
      </c>
      <c r="E34" s="8">
        <f>'Financial Statements'!D8/'Financial Statements'!D48</f>
        <v>0.847561502741689</v>
      </c>
    </row>
    <row r="35" spans="1:5">
      <c r="A35" s="6">
        <f t="shared" ref="A35:A37" si="2">+A34+0.1</f>
        <v>4.2</v>
      </c>
      <c r="B35" s="7" t="s">
        <v>135</v>
      </c>
      <c r="C35" s="8">
        <f>'Financial Statements'!B8/'Financial Statements'!B47</f>
        <v>1.81425350816655</v>
      </c>
      <c r="D35" s="8">
        <f>'Financial Statements'!C8/'Financial Statements'!C47</f>
        <v>1.69229666089949</v>
      </c>
      <c r="E35" s="8">
        <f>'Financial Statements'!D8/'Financial Statements'!D47</f>
        <v>1.52360205355904</v>
      </c>
    </row>
    <row r="36" spans="1:5">
      <c r="A36" s="6">
        <f t="shared" si="2"/>
        <v>4.3</v>
      </c>
      <c r="B36" s="7" t="s">
        <v>136</v>
      </c>
      <c r="C36" s="8">
        <f>'Financial Statements'!B12/'Financial Statements'!B39</f>
        <v>45.1973311767085</v>
      </c>
      <c r="D36" s="8">
        <f>'Financial Statements'!C12/'Financial Statements'!C39</f>
        <v>32.3679331306991</v>
      </c>
      <c r="E36" s="8">
        <f>'Financial Statements'!D12/'Financial Statements'!D39</f>
        <v>41.7530164983994</v>
      </c>
    </row>
    <row r="37" spans="1:5">
      <c r="A37" s="6">
        <f t="shared" si="2"/>
        <v>4.4</v>
      </c>
      <c r="B37" s="7" t="s">
        <v>137</v>
      </c>
      <c r="C37" s="8">
        <f>'Financial Statements'!B22/'Financial Statements'!B48</f>
        <v>0.282924409292569</v>
      </c>
      <c r="D37" s="8">
        <f>'Financial Statements'!C22/'Financial Statements'!C48</f>
        <v>0.269742052751836</v>
      </c>
      <c r="E37" s="8">
        <f>'Financial Statements'!D22/'Financial Statements'!D48</f>
        <v>0.177255718025984</v>
      </c>
    </row>
    <row r="38" spans="1:1">
      <c r="A38" s="6"/>
    </row>
    <row r="39" spans="1:2">
      <c r="A39" s="6">
        <f>+A33+1</f>
        <v>5</v>
      </c>
      <c r="B39" s="14" t="s">
        <v>138</v>
      </c>
    </row>
    <row r="40" spans="1:5">
      <c r="A40" s="6">
        <f>+A39+0.1</f>
        <v>5.1</v>
      </c>
      <c r="B40" s="7" t="s">
        <v>139</v>
      </c>
      <c r="C40" s="16">
        <f>('Financial Statements'!B68/$C$53)/C41</f>
        <v>0.00174412494359276</v>
      </c>
      <c r="D40" s="16">
        <f>('Financial Statements'!C68/$C$53)/D41</f>
        <v>0.00236509409382337</v>
      </c>
      <c r="E40" s="16">
        <f>('Financial Statements'!D68/$C$53)/E41</f>
        <v>0.0041893765469064</v>
      </c>
    </row>
    <row r="41" spans="1:5">
      <c r="A41" s="6">
        <f t="shared" ref="A41:A44" si="3">+A40+0.1</f>
        <v>5.2</v>
      </c>
      <c r="B41" s="12" t="s">
        <v>140</v>
      </c>
      <c r="C41" s="8">
        <f>'Financial Statements'!B25</f>
        <v>6.11</v>
      </c>
      <c r="D41">
        <f>'Financial Statements'!C25</f>
        <v>5.61</v>
      </c>
      <c r="E41">
        <f>'Financial Statements'!D25</f>
        <v>3.28</v>
      </c>
    </row>
    <row r="42" spans="1:5">
      <c r="A42" s="6">
        <f t="shared" si="3"/>
        <v>5.3</v>
      </c>
      <c r="B42" s="7" t="s">
        <v>141</v>
      </c>
      <c r="C42" s="17">
        <f>('Financial Statements'!B68/$C$53)/C43</f>
        <v>5.16693822200274e-8</v>
      </c>
      <c r="D42" s="17">
        <f>('Financial Statements'!C68/$C$53)/D43</f>
        <v>6.47600954029594e-8</v>
      </c>
      <c r="E42" s="17">
        <f>('Financial Statements'!D68/$C$53)/E43</f>
        <v>8.12513973820387e-8</v>
      </c>
    </row>
    <row r="43" spans="1:5">
      <c r="A43" s="6">
        <f t="shared" si="3"/>
        <v>5.4</v>
      </c>
      <c r="B43" s="12" t="s">
        <v>142</v>
      </c>
      <c r="C43" s="13">
        <f>'Financial Statements'!B47-'Financial Statements'!B79</f>
        <v>206246</v>
      </c>
      <c r="D43" s="13">
        <f>'Financial Statements'!C47-'Financial Statements'!C79</f>
        <v>204882</v>
      </c>
      <c r="E43" s="13">
        <f>'Financial Statements'!D47-'Financial Statements'!D79</f>
        <v>169119</v>
      </c>
    </row>
    <row r="44" spans="1:5">
      <c r="A44" s="6">
        <f t="shared" si="3"/>
        <v>5.5</v>
      </c>
      <c r="B44" s="7" t="s">
        <v>143</v>
      </c>
      <c r="C44" s="18">
        <f>-'Financial Statements'!B102/'Financial Statements'!B22</f>
        <v>0.148702944801258</v>
      </c>
      <c r="D44" s="18">
        <f>-'Financial Statements'!C102/'Financial Statements'!C22</f>
        <v>0.15279890156316</v>
      </c>
      <c r="E44" s="18">
        <f>-'Financial Statements'!D102/'Financial Statements'!D22</f>
        <v>0.245266586542649</v>
      </c>
    </row>
    <row r="45" spans="1:5">
      <c r="A45" s="6"/>
      <c r="B45" s="12" t="s">
        <v>144</v>
      </c>
      <c r="C45" s="16">
        <f>-'Financial Statements'!B102/$C$53</f>
        <v>0.00312114483617828</v>
      </c>
      <c r="D45" s="16">
        <f>-'Financial Statements'!C102/$C$53</f>
        <v>0.00304249055622877</v>
      </c>
      <c r="E45" s="16">
        <f>-'Financial Statements'!D102/$C$53</f>
        <v>0.00296131260954291</v>
      </c>
    </row>
    <row r="46" spans="1:2">
      <c r="A46" s="6">
        <f>+A44+0.1</f>
        <v>5.6</v>
      </c>
      <c r="B46" s="7" t="s">
        <v>145</v>
      </c>
    </row>
    <row r="47" spans="1:5">
      <c r="A47" s="6">
        <f t="shared" ref="A47:A50" si="4">+A45+0.1</f>
        <v>0.1</v>
      </c>
      <c r="B47" s="7" t="s">
        <v>146</v>
      </c>
      <c r="C47" s="8">
        <f>'Financial Statements'!B22/'Financial Statements'!B68</f>
        <v>1.96958872750237</v>
      </c>
      <c r="D47" s="8">
        <f>'Financial Statements'!C22/'Financial Statements'!C68</f>
        <v>1.50071326676177</v>
      </c>
      <c r="E47" s="8">
        <f>'Financial Statements'!D22/'Financial Statements'!D68</f>
        <v>0.878663585301275</v>
      </c>
    </row>
    <row r="48" spans="1:5">
      <c r="A48" s="6">
        <f t="shared" si="4"/>
        <v>5.7</v>
      </c>
      <c r="B48" s="7" t="s">
        <v>147</v>
      </c>
      <c r="C48" s="8">
        <f>'Financial Statements'!B18/('Financial Statements'!B48-'Financial Statements'!B56)</f>
        <v>0.600871345705906</v>
      </c>
      <c r="D48" s="8">
        <f>'Financial Statements'!C18/('Financial Statements'!C48-'Financial Statements'!C56)</f>
        <v>0.483099134892094</v>
      </c>
      <c r="E48" s="8">
        <f>'Financial Statements'!D18/('Financial Statements'!D48-'Financial Statements'!D56)</f>
        <v>0.303383128295255</v>
      </c>
    </row>
    <row r="49" spans="1:5">
      <c r="A49" s="6">
        <f t="shared" si="4"/>
        <v>0.2</v>
      </c>
      <c r="B49" s="7" t="s">
        <v>148</v>
      </c>
      <c r="C49" s="8">
        <f>'Financial Statements'!B22/'Financial Statements'!B48</f>
        <v>0.282924409292569</v>
      </c>
      <c r="D49" s="8">
        <f>'Financial Statements'!C22/'Financial Statements'!C48</f>
        <v>0.269742052751836</v>
      </c>
      <c r="E49" s="8">
        <f>'Financial Statements'!D22/'Financial Statements'!D48</f>
        <v>0.177255718025984</v>
      </c>
    </row>
    <row r="50" spans="1:5">
      <c r="A50" s="6">
        <f t="shared" si="4"/>
        <v>5.8</v>
      </c>
      <c r="B50" s="7" t="s">
        <v>149</v>
      </c>
      <c r="C50" s="8">
        <f>C51/C19</f>
        <v>2.76323014533639</v>
      </c>
      <c r="D50" s="8">
        <f>D51/D19</f>
        <v>2.89415513657549</v>
      </c>
      <c r="E50" s="8">
        <f>E51/E19</f>
        <v>4.26095899599052</v>
      </c>
    </row>
    <row r="51" spans="1:5">
      <c r="A51" s="6"/>
      <c r="B51" s="12" t="s">
        <v>150</v>
      </c>
      <c r="C51" s="13">
        <f>'Financial Statements'!B68+'Financial Statements'!B62-'Financial Statements'!B36</f>
        <v>329109</v>
      </c>
      <c r="D51" s="13">
        <f>'Financial Statements'!C68+'Financial Statements'!C62-'Financial Statements'!C36</f>
        <v>316062</v>
      </c>
      <c r="E51" s="13">
        <f>'Financial Statements'!D68+'Financial Statements'!D62-'Financial Statements'!D36</f>
        <v>285872</v>
      </c>
    </row>
    <row r="53" spans="2:3">
      <c r="B53" t="s">
        <v>151</v>
      </c>
      <c r="C53" s="19">
        <v>4754986</v>
      </c>
    </row>
    <row r="54" spans="2:5">
      <c r="B54" t="s">
        <v>152</v>
      </c>
      <c r="C54" s="13">
        <f>C55+'Financial Statements'!B79</f>
        <v>13781</v>
      </c>
      <c r="D54" s="13">
        <f>D55+'Financial Statements'!C79</f>
        <v>13958</v>
      </c>
      <c r="E54" s="13">
        <f>E55+'Financial Statements'!D79</f>
        <v>47822</v>
      </c>
    </row>
    <row r="55" spans="2:5">
      <c r="B55" t="s">
        <v>153</v>
      </c>
      <c r="C55" s="13">
        <f>'Financial Statements'!B45-'Financial Statements'!C45</f>
        <v>2677</v>
      </c>
      <c r="D55" s="13">
        <f>'Financial Statements'!C45-'Financial Statements'!D45</f>
        <v>2674</v>
      </c>
      <c r="E55" s="13">
        <f>'Financial Statements'!D45-'Financial Statements'!E45</f>
        <v>36766</v>
      </c>
    </row>
  </sheetData>
  <mergeCells count="1">
    <mergeCell ref="C2:E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WPS_1666186833</cp:lastModifiedBy>
  <dcterms:created xsi:type="dcterms:W3CDTF">2020-05-18T16:32:00Z</dcterms:created>
  <dcterms:modified xsi:type="dcterms:W3CDTF">2024-02-11T22:36:21Z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F0F3EC24BFC04037A65FF4E0AD008F75_13</vt:lpwstr>
  </property>
  <property fmtid="{D5CDD505-2E9C-101B-9397-08002B2CF9AE}" pid="3" name="KSOProductBuildVer">
    <vt:lpwstr>1033-12.2.0.13431</vt:lpwstr>
  </property>
</Properties>
</file>