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55" windowHeight="6810" firstSheet="3" activeTab="3"/>
  </bookViews>
  <sheets>
    <sheet name="Instructions" sheetId="1" r:id="rId1"/>
    <sheet name="Sheet1" sheetId="2" r:id="rId2"/>
    <sheet name="Data (Grp 1)" sheetId="5" r:id="rId3"/>
    <sheet name="Peer Analysis (Grp 1)" sheetId="3" r:id="rId4"/>
    <sheet name="Data Grp 2" sheetId="6" r:id="rId5"/>
    <sheet name="Peer Analysis (Grp 2)" sheetId="4" r:id="rId6"/>
  </sheets>
  <calcPr calcId="144525"/>
</workbook>
</file>

<file path=xl/sharedStrings.xml><?xml version="1.0" encoding="utf-8"?>
<sst xmlns="http://schemas.openxmlformats.org/spreadsheetml/2006/main" count="211" uniqueCount="125">
  <si>
    <t>Instructions</t>
  </si>
  <si>
    <t>You are required to map out the revenue drivers and cost drivers for the following companies:</t>
  </si>
  <si>
    <t>Marriot Inc.</t>
  </si>
  <si>
    <t>Johnson &amp; Johnson</t>
  </si>
  <si>
    <t>You are free to refer to company websites, annual and quarterly reports, press releases and any other publicly available data</t>
  </si>
  <si>
    <t>You are required to break-down the company's revenue into price volume data and map-out how each of these individual variables affect the revenue growth</t>
  </si>
  <si>
    <t>For cost drivers, identify each of the cost item's correlation with revenue (fixed or variable and if variable varies based on what?)</t>
  </si>
  <si>
    <t>You are required to comment on the company performance in the light of revenue and cost drivers</t>
  </si>
  <si>
    <t xml:space="preserve">You are required identify peers and compare their performance with the given company, however, you are not required to go deep into identifying drivers for the peers </t>
  </si>
  <si>
    <t>Format:</t>
  </si>
  <si>
    <t>You can use charts/smart arts in word document and have bullet points below the diagram for any further explanations</t>
  </si>
  <si>
    <t>The comment of company performance should be limited to a single page</t>
  </si>
  <si>
    <t>Marriott Inc</t>
  </si>
  <si>
    <t>YEAR</t>
  </si>
  <si>
    <t>DEC, 2022</t>
  </si>
  <si>
    <t>DEC, 2021</t>
  </si>
  <si>
    <t>Average Daily Rate (ADR)</t>
  </si>
  <si>
    <t>Revenue per available room (RevPAR)</t>
  </si>
  <si>
    <t>Occupancy rate</t>
  </si>
  <si>
    <t>Pfizer</t>
  </si>
  <si>
    <t>GlaxoSmithKline</t>
  </si>
  <si>
    <t>Cash ratio</t>
  </si>
  <si>
    <t>Marriott</t>
  </si>
  <si>
    <t>HYATT HOTELS CORPORATION</t>
  </si>
  <si>
    <t>Hilton Worldwide Holdings Inc</t>
  </si>
  <si>
    <t>Financial Metrics</t>
  </si>
  <si>
    <t>Revenue</t>
  </si>
  <si>
    <t>Cost of good sold</t>
  </si>
  <si>
    <t>Gross Profit</t>
  </si>
  <si>
    <t>Operating Income</t>
  </si>
  <si>
    <t>Operating Margin</t>
  </si>
  <si>
    <t>Operating Expenses</t>
  </si>
  <si>
    <t>Depreciation</t>
  </si>
  <si>
    <t>Net Income</t>
  </si>
  <si>
    <t>Net margin</t>
  </si>
  <si>
    <t>Earnings Per Share (EPS)</t>
  </si>
  <si>
    <t>Return on Equity (ROE)</t>
  </si>
  <si>
    <t>Return on Asset (ROA)</t>
  </si>
  <si>
    <t>Current ratio</t>
  </si>
  <si>
    <t>Quick ratio (Current Asset-Inventory)</t>
  </si>
  <si>
    <t>Equity</t>
  </si>
  <si>
    <t>Asset</t>
  </si>
  <si>
    <t>Liabilities</t>
  </si>
  <si>
    <t>Receivables</t>
  </si>
  <si>
    <t>Payables</t>
  </si>
  <si>
    <t>Total Debt</t>
  </si>
  <si>
    <t>EBIT</t>
  </si>
  <si>
    <t>EBITDA</t>
  </si>
  <si>
    <t>Current Asset</t>
  </si>
  <si>
    <t>Current liability</t>
  </si>
  <si>
    <t>Cash &amp; Cash equivalents</t>
  </si>
  <si>
    <t>Share Outstanding</t>
  </si>
  <si>
    <t>Inventory</t>
  </si>
  <si>
    <t>Share issued</t>
  </si>
  <si>
    <t>Treasury Shares Number</t>
  </si>
  <si>
    <t>Interest Expenses</t>
  </si>
  <si>
    <t>Price</t>
  </si>
  <si>
    <t>EPS</t>
  </si>
  <si>
    <t>Capex</t>
  </si>
  <si>
    <t>Change in Working Capital</t>
  </si>
  <si>
    <t>Dividend Paid</t>
  </si>
  <si>
    <t>Debt Service = Debt repayment (Interest + Principal repayment)</t>
  </si>
  <si>
    <t>Enterprise value (EV)= Market Capitalization+Total Debt−Cash and Cash Equivalents</t>
  </si>
  <si>
    <t xml:space="preserve">     Market Capitalization = Current Market Price per Share×Total Number of Outstanding Shares</t>
  </si>
  <si>
    <t>Net Borrowing=Ending Debt Balance−Beginning Debt Balance</t>
  </si>
  <si>
    <t>Liquidity</t>
  </si>
  <si>
    <t>Current ratio= current asset/current liability</t>
  </si>
  <si>
    <t>Quick Ratio= (current asset - inventory)/current liabilities</t>
  </si>
  <si>
    <t>Cash Ratio= (cash and cash equivalent + marketable security)/current liability</t>
  </si>
  <si>
    <t>Defensive Interval= Liquid Current Asset (cash+marketable sec+account receivable)/Daily Exp(Operating Exp- Depreciation/365 days)</t>
  </si>
  <si>
    <t>Inventory Days= Average inventory/(cost of sales/365 days)</t>
  </si>
  <si>
    <t>Payable Days Account payable/(cost of sale/365 days)</t>
  </si>
  <si>
    <t>Receivable Days= Account receivable/(sales/365)</t>
  </si>
  <si>
    <t>Net trading cycle = Receivable days + inventory days-payable days</t>
  </si>
  <si>
    <t>Working Capital as a % of Sales= (current asset - current liability)/sales * 100%</t>
  </si>
  <si>
    <t>Working Capital =current asset-current liability)</t>
  </si>
  <si>
    <t>Change in Networking capita</t>
  </si>
  <si>
    <t>Profitability ratio</t>
  </si>
  <si>
    <t>Gross margin =gross profit/sales * 100%</t>
  </si>
  <si>
    <t>EBITDA margin EBITDA/sales</t>
  </si>
  <si>
    <t>EBITDA = EBIT + Depreciation + amortization</t>
  </si>
  <si>
    <t>EBIT margin= EBIT/sales</t>
  </si>
  <si>
    <t>EBIT= operating income</t>
  </si>
  <si>
    <t>Net margin= net income (loss)/sales</t>
  </si>
  <si>
    <t>Solvency/ debt management</t>
  </si>
  <si>
    <t>Debt to equity (D/E)</t>
  </si>
  <si>
    <t>Debt to total assets</t>
  </si>
  <si>
    <t>Long-term debt to capital</t>
  </si>
  <si>
    <t>Times interest earned = EBIT/interest expenses</t>
  </si>
  <si>
    <t>Debt coverage = Net Operating income/Debt Service (total liabilities)</t>
  </si>
  <si>
    <t>Free cash flow (FCFE) per share</t>
  </si>
  <si>
    <t>FCFE= Net Income - (Capital Expenditures - Depreciation) - Change in Working Capital + Net Borrowing</t>
  </si>
  <si>
    <t>Asset utilization</t>
  </si>
  <si>
    <t>Total asset turnover = sales/asset</t>
  </si>
  <si>
    <t>Fixed asset turnover =sales/fixed asset</t>
  </si>
  <si>
    <t>Inventory turnover= cost of sales/average inventory</t>
  </si>
  <si>
    <t>Return on assets (ROA) =net income/total asset</t>
  </si>
  <si>
    <t>Investor/market ratios</t>
  </si>
  <si>
    <t>Price to earning (P/E)</t>
  </si>
  <si>
    <t>Current share price</t>
  </si>
  <si>
    <t>Earnings per share (EPS)</t>
  </si>
  <si>
    <t xml:space="preserve">Price to book value (PBV)= </t>
  </si>
  <si>
    <t>Total number of outstanding shares</t>
  </si>
  <si>
    <t>Book value per share (BV)=  total equity (assets minus liabilities)/total number of outstanding shares</t>
  </si>
  <si>
    <t>Dividend payout ratio= (Dividends per Share/Earnings per Share)*100</t>
  </si>
  <si>
    <t>Dividend per share</t>
  </si>
  <si>
    <t>Dividend yield</t>
  </si>
  <si>
    <t>Return on equity (ROE)= Net income/Equity</t>
  </si>
  <si>
    <t>Return on capital employed (ROCE) = EBIT/Capital employed (Equity + longterm liability)</t>
  </si>
  <si>
    <t>Capital Employed</t>
  </si>
  <si>
    <t>Enterprise value to EBITDA (EV/EBITDA)</t>
  </si>
  <si>
    <t xml:space="preserve">GlaxoSmithKline plc 
</t>
  </si>
  <si>
    <t>Year</t>
  </si>
  <si>
    <t>Gross Margin</t>
  </si>
  <si>
    <t>Net Margin</t>
  </si>
  <si>
    <t>Debt-to-Equity Ratio</t>
  </si>
  <si>
    <t>Account receivable</t>
  </si>
  <si>
    <t>Account payable</t>
  </si>
  <si>
    <t>EBIT Margin</t>
  </si>
  <si>
    <t>CAPEX</t>
  </si>
  <si>
    <t>Debt Repayment</t>
  </si>
  <si>
    <t>Investment in Property</t>
  </si>
  <si>
    <t>Dividend payout ratio =(Dividends per Share/Earnings per Share)*100</t>
  </si>
  <si>
    <t>Dividend per share= Dividend paid/shares outstanding</t>
  </si>
  <si>
    <t>Dividend yield = Dividend per share/Price per share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</si>
</sst>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,##0.000000"/>
    <numFmt numFmtId="179" formatCode="0.00_ "/>
    <numFmt numFmtId="180" formatCode="_ * #,##0_ ;_ * \-#,##0_ ;_ * &quot;-&quot;??_ ;_ @_ "/>
  </numFmts>
  <fonts count="35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9.75"/>
      <color rgb="FF232A31"/>
      <name val="Helvetica"/>
      <charset val="134"/>
    </font>
    <font>
      <sz val="11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000000"/>
      <name val="Helvetica"/>
      <charset val="134"/>
    </font>
    <font>
      <sz val="10"/>
      <color rgb="FF000000"/>
      <name val="Segoe UI"/>
      <charset val="134"/>
    </font>
    <font>
      <b/>
      <sz val="11"/>
      <color rgb="FF000000"/>
      <name val="Calibri"/>
      <charset val="134"/>
    </font>
    <font>
      <b/>
      <sz val="9"/>
      <color theme="1"/>
      <name val="Helvetica"/>
      <charset val="134"/>
    </font>
    <font>
      <b/>
      <sz val="11"/>
      <color theme="1"/>
      <name val="Helvetica"/>
      <charset val="134"/>
    </font>
    <font>
      <b/>
      <sz val="12"/>
      <color theme="1"/>
      <name val="Helvetica"/>
      <charset val="134"/>
    </font>
    <font>
      <b/>
      <sz val="9.75"/>
      <color theme="1"/>
      <name val="Helvetica"/>
      <charset val="134"/>
    </font>
    <font>
      <sz val="10"/>
      <color theme="1"/>
      <name val="Calibri"/>
      <charset val="134"/>
    </font>
    <font>
      <b/>
      <sz val="18"/>
      <color theme="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-0.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-0.25"/>
        <bgColor indexed="64"/>
      </patternFill>
    </fill>
    <fill>
      <patternFill patternType="solid">
        <fgColor theme="4" tint="-0.2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14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5" fillId="16" borderId="7" applyNumberFormat="0" applyAlignment="0" applyProtection="0">
      <alignment vertical="center"/>
    </xf>
    <xf numFmtId="0" fontId="26" fillId="16" borderId="6" applyNumberFormat="0" applyAlignment="0" applyProtection="0">
      <alignment vertical="center"/>
    </xf>
    <xf numFmtId="0" fontId="27" fillId="17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</cellStyleXfs>
  <cellXfs count="99">
    <xf numFmtId="0" fontId="0" fillId="0" borderId="0" xfId="0"/>
    <xf numFmtId="0" fontId="1" fillId="2" borderId="0" xfId="0" applyNumberFormat="1" applyFont="1" applyFill="1"/>
    <xf numFmtId="0" fontId="1" fillId="3" borderId="0" xfId="0" applyNumberFormat="1" applyFont="1" applyFill="1" applyBorder="1" applyAlignment="1">
      <alignment horizontal="center" wrapText="1"/>
    </xf>
    <xf numFmtId="0" fontId="1" fillId="3" borderId="0" xfId="0" applyNumberFormat="1" applyFont="1" applyFill="1" applyBorder="1" applyAlignment="1">
      <alignment horizontal="center"/>
    </xf>
    <xf numFmtId="0" fontId="1" fillId="3" borderId="0" xfId="0" applyNumberFormat="1" applyFont="1" applyFill="1" applyBorder="1" applyAlignment="1">
      <alignment wrapText="1"/>
    </xf>
    <xf numFmtId="0" fontId="1" fillId="3" borderId="0" xfId="0" applyNumberFormat="1" applyFont="1" applyFill="1" applyBorder="1"/>
    <xf numFmtId="0" fontId="2" fillId="4" borderId="0" xfId="0" applyFont="1" applyFill="1" applyAlignment="1"/>
    <xf numFmtId="0" fontId="0" fillId="5" borderId="0" xfId="0" applyFill="1"/>
    <xf numFmtId="0" fontId="2" fillId="4" borderId="0" xfId="0" applyFont="1" applyFill="1" applyAlignment="1">
      <alignment horizontal="left" indent="1"/>
    </xf>
    <xf numFmtId="4" fontId="0" fillId="5" borderId="0" xfId="0" applyNumberFormat="1" applyFill="1"/>
    <xf numFmtId="176" fontId="0" fillId="5" borderId="0" xfId="1" applyNumberFormat="1" applyFill="1"/>
    <xf numFmtId="9" fontId="0" fillId="5" borderId="0" xfId="3" applyFill="1"/>
    <xf numFmtId="0" fontId="2" fillId="4" borderId="0" xfId="0" applyFont="1" applyFill="1" applyAlignment="1">
      <alignment horizontal="left" indent="2"/>
    </xf>
    <xf numFmtId="3" fontId="3" fillId="5" borderId="0" xfId="0" applyNumberFormat="1" applyFont="1" applyFill="1"/>
    <xf numFmtId="0" fontId="2" fillId="4" borderId="0" xfId="0" applyFont="1" applyFill="1" applyAlignment="1">
      <alignment horizontal="left"/>
    </xf>
    <xf numFmtId="3" fontId="3" fillId="0" borderId="0" xfId="0" applyNumberFormat="1" applyFont="1"/>
    <xf numFmtId="0" fontId="2" fillId="4" borderId="0" xfId="0" applyFont="1" applyFill="1" applyAlignment="1"/>
    <xf numFmtId="0" fontId="4" fillId="0" borderId="0" xfId="0" applyNumberFormat="1" applyFont="1" applyFill="1" applyBorder="1" applyAlignment="1"/>
    <xf numFmtId="4" fontId="0" fillId="3" borderId="0" xfId="0" applyNumberFormat="1" applyFill="1"/>
    <xf numFmtId="178" fontId="0" fillId="5" borderId="0" xfId="0" applyNumberFormat="1" applyFill="1"/>
    <xf numFmtId="0" fontId="2" fillId="4" borderId="0" xfId="0" applyFont="1" applyFill="1" applyAlignment="1">
      <alignment horizontal="left" wrapText="1" indent="2"/>
    </xf>
    <xf numFmtId="10" fontId="0" fillId="5" borderId="0" xfId="3" applyNumberFormat="1" applyFill="1"/>
    <xf numFmtId="3" fontId="0" fillId="5" borderId="0" xfId="0" applyNumberFormat="1" applyFill="1"/>
    <xf numFmtId="0" fontId="2" fillId="0" borderId="0" xfId="0" applyFont="1" applyFill="1" applyAlignment="1">
      <alignment horizontal="left" indent="1"/>
    </xf>
    <xf numFmtId="0" fontId="1" fillId="6" borderId="0" xfId="0" applyNumberFormat="1" applyFont="1" applyFill="1"/>
    <xf numFmtId="0" fontId="1" fillId="7" borderId="0" xfId="0" applyNumberFormat="1" applyFont="1" applyFill="1" applyBorder="1" applyAlignment="1">
      <alignment horizontal="center" wrapText="1"/>
    </xf>
    <xf numFmtId="0" fontId="1" fillId="7" borderId="0" xfId="0" applyNumberFormat="1" applyFont="1" applyFill="1" applyBorder="1" applyAlignment="1">
      <alignment horizontal="center"/>
    </xf>
    <xf numFmtId="0" fontId="1" fillId="7" borderId="0" xfId="0" applyNumberFormat="1" applyFont="1" applyFill="1" applyBorder="1" applyAlignment="1">
      <alignment wrapText="1"/>
    </xf>
    <xf numFmtId="0" fontId="1" fillId="7" borderId="0" xfId="0" applyNumberFormat="1" applyFont="1" applyFill="1" applyBorder="1"/>
    <xf numFmtId="0" fontId="1" fillId="6" borderId="0" xfId="0" applyNumberFormat="1" applyFont="1" applyFill="1" applyAlignment="1"/>
    <xf numFmtId="0" fontId="5" fillId="7" borderId="0" xfId="0" applyNumberFormat="1" applyFont="1" applyFill="1" applyBorder="1" applyAlignment="1"/>
    <xf numFmtId="0" fontId="1" fillId="6" borderId="0" xfId="0" applyNumberFormat="1" applyFont="1" applyFill="1" applyAlignment="1">
      <alignment vertical="top"/>
    </xf>
    <xf numFmtId="4" fontId="4" fillId="7" borderId="0" xfId="0" applyNumberFormat="1" applyFont="1" applyFill="1" applyBorder="1" applyAlignment="1"/>
    <xf numFmtId="10" fontId="4" fillId="7" borderId="0" xfId="0" applyNumberFormat="1" applyFont="1" applyFill="1" applyBorder="1" applyAlignment="1"/>
    <xf numFmtId="10" fontId="0" fillId="7" borderId="0" xfId="0" applyNumberFormat="1" applyFont="1" applyFill="1" applyAlignment="1"/>
    <xf numFmtId="4" fontId="0" fillId="7" borderId="0" xfId="0" applyNumberFormat="1" applyFont="1" applyFill="1" applyAlignment="1"/>
    <xf numFmtId="4" fontId="0" fillId="7" borderId="0" xfId="0" applyNumberFormat="1" applyFont="1" applyFill="1" applyBorder="1" applyAlignment="1"/>
    <xf numFmtId="10" fontId="0" fillId="7" borderId="0" xfId="0" applyNumberFormat="1" applyFont="1" applyFill="1" applyBorder="1" applyAlignment="1"/>
    <xf numFmtId="0" fontId="6" fillId="6" borderId="0" xfId="0" applyNumberFormat="1" applyFont="1" applyFill="1" applyAlignment="1">
      <alignment vertical="top"/>
    </xf>
    <xf numFmtId="0" fontId="7" fillId="7" borderId="0" xfId="0" applyNumberFormat="1" applyFont="1" applyFill="1" applyAlignment="1"/>
    <xf numFmtId="0" fontId="4" fillId="7" borderId="0" xfId="0" applyNumberFormat="1" applyFont="1" applyFill="1" applyBorder="1" applyAlignment="1"/>
    <xf numFmtId="3" fontId="4" fillId="7" borderId="0" xfId="0" applyNumberFormat="1" applyFont="1" applyFill="1" applyBorder="1" applyAlignment="1"/>
    <xf numFmtId="3" fontId="4" fillId="7" borderId="0" xfId="0" applyNumberFormat="1" applyFont="1" applyFill="1" applyAlignment="1"/>
    <xf numFmtId="0" fontId="4" fillId="7" borderId="0" xfId="0" applyNumberFormat="1" applyFont="1" applyFill="1" applyAlignment="1"/>
    <xf numFmtId="0" fontId="2" fillId="8" borderId="0" xfId="0" applyFont="1" applyFill="1" applyAlignment="1">
      <alignment horizontal="left" indent="2"/>
    </xf>
    <xf numFmtId="4" fontId="0" fillId="7" borderId="0" xfId="0" applyNumberFormat="1" applyFont="1" applyFill="1" applyAlignment="1"/>
    <xf numFmtId="0" fontId="2" fillId="8" borderId="0" xfId="0" applyFont="1" applyFill="1" applyAlignment="1"/>
    <xf numFmtId="0" fontId="0" fillId="7" borderId="0" xfId="0" applyFont="1" applyFill="1" applyAlignment="1"/>
    <xf numFmtId="0" fontId="0" fillId="9" borderId="0" xfId="0" applyFill="1"/>
    <xf numFmtId="0" fontId="8" fillId="10" borderId="1" xfId="0" applyNumberFormat="1" applyFont="1" applyFill="1" applyBorder="1" applyAlignment="1">
      <alignment horizontal="center" vertical="top"/>
    </xf>
    <xf numFmtId="0" fontId="8" fillId="10" borderId="0" xfId="1" applyNumberFormat="1" applyFont="1" applyFill="1" applyAlignment="1">
      <alignment horizontal="center" vertical="top"/>
    </xf>
    <xf numFmtId="0" fontId="1" fillId="10" borderId="0" xfId="0" applyNumberFormat="1" applyFont="1" applyFill="1"/>
    <xf numFmtId="0" fontId="1" fillId="10" borderId="0" xfId="0" applyFont="1" applyFill="1"/>
    <xf numFmtId="0" fontId="2" fillId="9" borderId="0" xfId="0" applyFont="1" applyFill="1" applyAlignment="1"/>
    <xf numFmtId="0" fontId="2" fillId="9" borderId="0" xfId="0" applyFont="1" applyFill="1" applyAlignment="1">
      <alignment horizontal="left" indent="1"/>
    </xf>
    <xf numFmtId="4" fontId="1" fillId="10" borderId="0" xfId="0" applyNumberFormat="1" applyFont="1" applyFill="1"/>
    <xf numFmtId="9" fontId="1" fillId="10" borderId="0" xfId="3" applyFont="1" applyFill="1"/>
    <xf numFmtId="0" fontId="2" fillId="9" borderId="0" xfId="0" applyFont="1" applyFill="1" applyAlignment="1">
      <alignment horizontal="left" indent="2"/>
    </xf>
    <xf numFmtId="3" fontId="1" fillId="10" borderId="0" xfId="0" applyNumberFormat="1" applyFont="1" applyFill="1"/>
    <xf numFmtId="0" fontId="2" fillId="9" borderId="0" xfId="0" applyFont="1" applyFill="1" applyAlignment="1">
      <alignment horizontal="left"/>
    </xf>
    <xf numFmtId="0" fontId="2" fillId="9" borderId="0" xfId="0" applyFont="1" applyFill="1" applyAlignment="1"/>
    <xf numFmtId="179" fontId="1" fillId="10" borderId="0" xfId="0" applyNumberFormat="1" applyFont="1" applyFill="1"/>
    <xf numFmtId="0" fontId="2" fillId="9" borderId="0" xfId="0" applyFont="1" applyFill="1" applyAlignment="1">
      <alignment horizontal="left" wrapText="1" indent="2"/>
    </xf>
    <xf numFmtId="176" fontId="1" fillId="10" borderId="0" xfId="1" applyFont="1" applyFill="1"/>
    <xf numFmtId="10" fontId="1" fillId="10" borderId="0" xfId="3" applyNumberFormat="1" applyFont="1" applyFill="1"/>
    <xf numFmtId="0" fontId="0" fillId="6" borderId="0" xfId="0" applyNumberFormat="1" applyFont="1" applyFill="1" applyAlignment="1"/>
    <xf numFmtId="0" fontId="5" fillId="11" borderId="1" xfId="0" applyNumberFormat="1" applyFont="1" applyFill="1" applyBorder="1" applyAlignment="1">
      <alignment horizontal="center" vertical="top"/>
    </xf>
    <xf numFmtId="0" fontId="5" fillId="11" borderId="0" xfId="1" applyNumberFormat="1" applyFont="1" applyFill="1" applyAlignment="1">
      <alignment horizontal="center" vertical="top"/>
    </xf>
    <xf numFmtId="0" fontId="1" fillId="11" borderId="0" xfId="0" applyNumberFormat="1" applyFont="1" applyFill="1" applyAlignment="1"/>
    <xf numFmtId="0" fontId="8" fillId="6" borderId="0" xfId="0" applyNumberFormat="1" applyFont="1" applyFill="1" applyAlignment="1">
      <alignment vertical="top"/>
    </xf>
    <xf numFmtId="4" fontId="5" fillId="11" borderId="0" xfId="0" applyNumberFormat="1" applyFont="1" applyFill="1" applyAlignment="1">
      <alignment horizontal="right" vertical="top"/>
    </xf>
    <xf numFmtId="10" fontId="5" fillId="11" borderId="0" xfId="0" applyNumberFormat="1" applyFont="1" applyFill="1" applyAlignment="1">
      <alignment horizontal="right" vertical="top"/>
    </xf>
    <xf numFmtId="0" fontId="5" fillId="11" borderId="0" xfId="0" applyNumberFormat="1" applyFont="1" applyFill="1" applyBorder="1" applyAlignment="1" applyProtection="1">
      <alignment horizontal="right" vertical="top"/>
    </xf>
    <xf numFmtId="176" fontId="5" fillId="11" borderId="0" xfId="1" applyNumberFormat="1" applyFont="1" applyFill="1" applyAlignment="1">
      <alignment horizontal="right" vertical="top"/>
    </xf>
    <xf numFmtId="180" fontId="5" fillId="11" borderId="0" xfId="1" applyNumberFormat="1" applyFont="1" applyFill="1" applyAlignment="1">
      <alignment horizontal="right" vertical="top"/>
    </xf>
    <xf numFmtId="4" fontId="9" fillId="11" borderId="0" xfId="0" applyNumberFormat="1" applyFont="1" applyFill="1" applyAlignment="1">
      <alignment horizontal="right" vertical="top"/>
    </xf>
    <xf numFmtId="4" fontId="10" fillId="11" borderId="0" xfId="0" applyNumberFormat="1" applyFont="1" applyFill="1" applyAlignment="1">
      <alignment horizontal="right" vertical="top"/>
    </xf>
    <xf numFmtId="10" fontId="9" fillId="11" borderId="0" xfId="0" applyNumberFormat="1" applyFont="1" applyFill="1" applyAlignment="1">
      <alignment horizontal="right" vertical="top"/>
    </xf>
    <xf numFmtId="0" fontId="10" fillId="11" borderId="0" xfId="0" applyNumberFormat="1" applyFont="1" applyFill="1" applyAlignment="1">
      <alignment horizontal="right" vertical="top"/>
    </xf>
    <xf numFmtId="10" fontId="10" fillId="11" borderId="0" xfId="0" applyNumberFormat="1" applyFont="1" applyFill="1" applyAlignment="1">
      <alignment horizontal="right" vertical="top"/>
    </xf>
    <xf numFmtId="4" fontId="5" fillId="11" borderId="0" xfId="0" applyNumberFormat="1" applyFont="1" applyFill="1" applyBorder="1" applyAlignment="1"/>
    <xf numFmtId="0" fontId="10" fillId="6" borderId="0" xfId="0" applyNumberFormat="1" applyFont="1" applyFill="1" applyAlignment="1">
      <alignment vertical="top"/>
    </xf>
    <xf numFmtId="4" fontId="11" fillId="11" borderId="0" xfId="0" applyNumberFormat="1" applyFont="1" applyFill="1" applyAlignment="1">
      <alignment horizontal="right" vertical="top"/>
    </xf>
    <xf numFmtId="0" fontId="1" fillId="8" borderId="0" xfId="0" applyFont="1" applyFill="1" applyAlignment="1"/>
    <xf numFmtId="3" fontId="1" fillId="12" borderId="0" xfId="0" applyNumberFormat="1" applyFont="1" applyFill="1" applyAlignment="1"/>
    <xf numFmtId="0" fontId="1" fillId="12" borderId="0" xfId="0" applyFont="1" applyFill="1" applyAlignment="1"/>
    <xf numFmtId="3" fontId="12" fillId="12" borderId="0" xfId="0" applyNumberFormat="1" applyFont="1" applyFill="1" applyAlignment="1"/>
    <xf numFmtId="4" fontId="1" fillId="12" borderId="0" xfId="0" applyNumberFormat="1" applyFont="1" applyFill="1" applyAlignment="1"/>
    <xf numFmtId="0" fontId="13" fillId="0" borderId="2" xfId="0" applyNumberFormat="1" applyFont="1" applyFill="1" applyBorder="1" applyAlignment="1">
      <alignment horizontal="center" vertical="top"/>
    </xf>
    <xf numFmtId="0" fontId="13" fillId="0" borderId="2" xfId="0" applyNumberFormat="1" applyFont="1" applyFill="1" applyBorder="1" applyAlignment="1">
      <alignment vertical="top"/>
    </xf>
    <xf numFmtId="0" fontId="0" fillId="0" borderId="2" xfId="0" applyNumberFormat="1" applyFont="1" applyFill="1" applyBorder="1"/>
    <xf numFmtId="10" fontId="13" fillId="0" borderId="2" xfId="0" applyNumberFormat="1" applyFont="1" applyFill="1" applyBorder="1" applyAlignment="1">
      <alignment vertical="top"/>
    </xf>
    <xf numFmtId="9" fontId="0" fillId="0" borderId="0" xfId="3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14" fillId="13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t>        Cash Ratio	</a:t>
            </a:r>
          </a:p>
        </c:rich>
      </c:tx>
      <c:layout>
        <c:manualLayout>
          <c:xMode val="edge"/>
          <c:yMode val="edge"/>
          <c:x val="0.247638888888889"/>
          <c:y val="0.03125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Sheet1!$B$18</c:f>
              <c:strCache>
                <c:ptCount val="1"/>
                <c:pt idx="0">
                  <c:v>Cash ratio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multiLvlStrRef>
              <c:f>Sheet1!$C$16:$E$17</c:f>
              <c:multiLvlStrCache>
                <c:ptCount val="3"/>
                <c:lvl/>
                <c:lvl>
                  <c:pt idx="0">
                    <c:v>Johnson &amp; Johnson</c:v>
                  </c:pt>
                  <c:pt idx="1">
                    <c:v>Pfizer</c:v>
                  </c:pt>
                  <c:pt idx="2">
                    <c:v>GlaxoSmithKline</c:v>
                  </c:pt>
                </c:lvl>
              </c:multiLvlStrCache>
            </c:multiLvlStrRef>
          </c:cat>
          <c:val>
            <c:numRef>
              <c:f>Sheet1!$C$18:$E$18</c:f>
              <c:numCache>
                <c:formatCode>0%</c:formatCode>
                <c:ptCount val="3"/>
                <c:pt idx="0">
                  <c:v>0.495376172161964</c:v>
                </c:pt>
                <c:pt idx="1">
                  <c:v>0.265514499727999</c:v>
                </c:pt>
                <c:pt idx="2">
                  <c:v>0.336562911003946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06835847"/>
        <c:axId val="459736638"/>
      </c:lineChart>
      <c:catAx>
        <c:axId val="1068358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59736638"/>
        <c:crosses val="autoZero"/>
        <c:auto val="1"/>
        <c:lblAlgn val="ctr"/>
        <c:lblOffset val="100"/>
        <c:noMultiLvlLbl val="0"/>
      </c:catAx>
      <c:valAx>
        <c:axId val="45973663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06835847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247650</xdr:colOff>
      <xdr:row>3</xdr:row>
      <xdr:rowOff>156845</xdr:rowOff>
    </xdr:from>
    <xdr:to>
      <xdr:col>7</xdr:col>
      <xdr:colOff>238125</xdr:colOff>
      <xdr:row>18</xdr:row>
      <xdr:rowOff>147320</xdr:rowOff>
    </xdr:to>
    <xdr:graphicFrame>
      <xdr:nvGraphicFramePr>
        <xdr:cNvPr id="3" name="Chart 2"/>
        <xdr:cNvGraphicFramePr/>
      </xdr:nvGraphicFramePr>
      <xdr:xfrm>
        <a:off x="2324100" y="69977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4"/>
  <sheetViews>
    <sheetView workbookViewId="0">
      <selection activeCell="A8" sqref="A8"/>
    </sheetView>
  </sheetViews>
  <sheetFormatPr defaultColWidth="9" defaultRowHeight="14.25"/>
  <cols>
    <col min="1" max="1" width="157.890909090909" style="94" customWidth="1"/>
  </cols>
  <sheetData>
    <row r="1" ht="23" spans="1:1">
      <c r="A1" s="95" t="s">
        <v>0</v>
      </c>
    </row>
    <row r="3" spans="1:1">
      <c r="A3" s="96" t="s">
        <v>1</v>
      </c>
    </row>
    <row r="4" s="93" customFormat="1" spans="1:1">
      <c r="A4" s="97" t="s">
        <v>2</v>
      </c>
    </row>
    <row r="5" spans="1:1">
      <c r="A5" s="97" t="s">
        <v>3</v>
      </c>
    </row>
    <row r="6" spans="1:1">
      <c r="A6" s="94" t="s">
        <v>4</v>
      </c>
    </row>
    <row r="7" spans="1:1">
      <c r="A7" s="94" t="s">
        <v>5</v>
      </c>
    </row>
    <row r="8" spans="1:1">
      <c r="A8" s="94" t="s">
        <v>6</v>
      </c>
    </row>
    <row r="9" spans="1:1">
      <c r="A9" s="94" t="s">
        <v>7</v>
      </c>
    </row>
    <row r="10" spans="1:1">
      <c r="A10" s="94" t="s">
        <v>8</v>
      </c>
    </row>
    <row r="12" spans="1:1">
      <c r="A12" s="98" t="s">
        <v>9</v>
      </c>
    </row>
    <row r="13" spans="1:1">
      <c r="A13" s="94" t="s">
        <v>10</v>
      </c>
    </row>
    <row r="14" spans="1:1">
      <c r="A14" s="94" t="s">
        <v>11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E18"/>
  <sheetViews>
    <sheetView workbookViewId="0">
      <selection activeCell="Q17" sqref="Q17"/>
    </sheetView>
  </sheetViews>
  <sheetFormatPr defaultColWidth="9" defaultRowHeight="14.25" outlineLevelCol="4"/>
  <cols>
    <col min="1" max="1" width="29.7272727272727" customWidth="1"/>
    <col min="2" max="2" width="12.8636363636364" customWidth="1"/>
    <col min="3" max="4" width="12.8636363636364"/>
  </cols>
  <sheetData>
    <row r="9" spans="1:3">
      <c r="A9" s="88" t="s">
        <v>12</v>
      </c>
      <c r="B9" s="89"/>
      <c r="C9" s="89"/>
    </row>
    <row r="10" spans="1:3">
      <c r="A10" s="90" t="s">
        <v>13</v>
      </c>
      <c r="B10" s="89" t="s">
        <v>14</v>
      </c>
      <c r="C10" s="89" t="s">
        <v>15</v>
      </c>
    </row>
    <row r="11" spans="1:3">
      <c r="A11" s="89" t="s">
        <v>16</v>
      </c>
      <c r="B11" s="89">
        <v>203.23</v>
      </c>
      <c r="C11" s="89">
        <v>145.56</v>
      </c>
    </row>
    <row r="12" spans="1:3">
      <c r="A12" s="89" t="s">
        <v>17</v>
      </c>
      <c r="B12" s="89">
        <v>123.3</v>
      </c>
      <c r="C12" s="89">
        <v>74.66</v>
      </c>
    </row>
    <row r="13" spans="1:3">
      <c r="A13" s="89" t="s">
        <v>18</v>
      </c>
      <c r="B13" s="91">
        <v>0.607</v>
      </c>
      <c r="C13" s="91">
        <v>0.513</v>
      </c>
    </row>
    <row r="15" ht="15"/>
    <row r="16" spans="3:5">
      <c r="C16" s="49" t="s">
        <v>3</v>
      </c>
      <c r="D16" s="49" t="s">
        <v>19</v>
      </c>
      <c r="E16" s="49" t="s">
        <v>20</v>
      </c>
    </row>
    <row r="17" ht="15.75" spans="3:5">
      <c r="C17" s="49"/>
      <c r="D17" s="49"/>
      <c r="E17" s="49"/>
    </row>
    <row r="18" ht="15" spans="2:5">
      <c r="B18" t="s">
        <v>21</v>
      </c>
      <c r="C18" s="92">
        <v>0.495376172161964</v>
      </c>
      <c r="D18" s="92">
        <v>0.265514499727999</v>
      </c>
      <c r="E18" s="92">
        <v>0.336562911003946</v>
      </c>
    </row>
  </sheetData>
  <mergeCells count="4">
    <mergeCell ref="A9:C9"/>
    <mergeCell ref="C16:C17"/>
    <mergeCell ref="D16:D17"/>
    <mergeCell ref="E16:E17"/>
  </mergeCells>
  <pageMargins left="0.7" right="0.7" top="0.75" bottom="0.75" header="0.3" footer="0.3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topLeftCell="A25" workbookViewId="0">
      <selection activeCell="A41" sqref="A41"/>
    </sheetView>
  </sheetViews>
  <sheetFormatPr defaultColWidth="9" defaultRowHeight="14.25" outlineLevelCol="3"/>
  <cols>
    <col min="1" max="1" width="27.4545454545455" customWidth="1"/>
    <col min="2" max="2" width="29.2727272727273" customWidth="1"/>
    <col min="3" max="3" width="29.1363636363636" customWidth="1"/>
    <col min="4" max="4" width="29.3636363636364" customWidth="1"/>
    <col min="5" max="5" width="19.7727272727273" customWidth="1"/>
  </cols>
  <sheetData>
    <row r="1" ht="15"/>
    <row r="2" ht="15.75" spans="1:4">
      <c r="A2" s="65"/>
      <c r="B2" s="66" t="s">
        <v>22</v>
      </c>
      <c r="C2" s="66" t="s">
        <v>23</v>
      </c>
      <c r="D2" s="66" t="s">
        <v>24</v>
      </c>
    </row>
    <row r="3" ht="15.75" spans="1:4">
      <c r="A3" s="29" t="s">
        <v>25</v>
      </c>
      <c r="B3" s="66"/>
      <c r="C3" s="66"/>
      <c r="D3" s="66"/>
    </row>
    <row r="4" ht="15" spans="1:4">
      <c r="A4" s="65"/>
      <c r="B4" s="67">
        <v>2023</v>
      </c>
      <c r="C4" s="68"/>
      <c r="D4" s="68"/>
    </row>
    <row r="5" spans="1:4">
      <c r="A5" s="69" t="s">
        <v>26</v>
      </c>
      <c r="B5" s="70">
        <v>23713000</v>
      </c>
      <c r="C5" s="70">
        <v>6667000</v>
      </c>
      <c r="D5" s="70">
        <v>10235000</v>
      </c>
    </row>
    <row r="6" spans="1:4">
      <c r="A6" s="69" t="s">
        <v>27</v>
      </c>
      <c r="B6" s="70">
        <v>18589000</v>
      </c>
      <c r="C6" s="70">
        <v>5350000</v>
      </c>
      <c r="D6" s="70">
        <v>7305000</v>
      </c>
    </row>
    <row r="7" spans="1:4">
      <c r="A7" s="69" t="s">
        <v>28</v>
      </c>
      <c r="B7" s="70">
        <v>5124000</v>
      </c>
      <c r="C7" s="70">
        <v>1317000</v>
      </c>
      <c r="D7" s="70">
        <v>2930000</v>
      </c>
    </row>
    <row r="8" spans="1:4">
      <c r="A8" s="69" t="s">
        <v>29</v>
      </c>
      <c r="B8" s="70">
        <v>3924000</v>
      </c>
      <c r="C8" s="70">
        <v>322000</v>
      </c>
      <c r="D8" s="70">
        <v>2263000</v>
      </c>
    </row>
    <row r="9" spans="1:4">
      <c r="A9" s="69" t="s">
        <v>30</v>
      </c>
      <c r="B9" s="71">
        <v>0.19</v>
      </c>
      <c r="C9" s="71">
        <v>0.05</v>
      </c>
      <c r="D9" s="71">
        <v>0.22</v>
      </c>
    </row>
    <row r="10" spans="1:4">
      <c r="A10" s="69" t="s">
        <v>31</v>
      </c>
      <c r="B10" s="72">
        <v>1200000</v>
      </c>
      <c r="C10" s="72">
        <v>995000</v>
      </c>
      <c r="D10" s="73">
        <v>667000</v>
      </c>
    </row>
    <row r="11" spans="1:4">
      <c r="A11" s="69" t="s">
        <v>32</v>
      </c>
      <c r="B11" s="72">
        <v>189000</v>
      </c>
      <c r="C11" s="72">
        <v>397000</v>
      </c>
      <c r="D11" s="74">
        <v>147000</v>
      </c>
    </row>
    <row r="12" spans="1:4">
      <c r="A12" s="69" t="s">
        <v>33</v>
      </c>
      <c r="B12" s="75">
        <v>3083000</v>
      </c>
      <c r="C12" s="76">
        <v>220000</v>
      </c>
      <c r="D12" s="76">
        <v>1141000</v>
      </c>
    </row>
    <row r="13" spans="1:4">
      <c r="A13" s="69" t="s">
        <v>34</v>
      </c>
      <c r="B13" s="77">
        <f>B12/B5</f>
        <v>0.130013072997934</v>
      </c>
      <c r="C13" s="77">
        <f>C12/C5</f>
        <v>0.0329983500824959</v>
      </c>
      <c r="D13" s="77">
        <f>D12/D5</f>
        <v>0.111480214948705</v>
      </c>
    </row>
    <row r="14" spans="1:4">
      <c r="A14" s="38" t="s">
        <v>35</v>
      </c>
      <c r="B14" s="78">
        <v>10.18</v>
      </c>
      <c r="C14" s="78">
        <v>4.45</v>
      </c>
      <c r="D14" s="78">
        <v>4.33</v>
      </c>
    </row>
    <row r="15" spans="1:4">
      <c r="A15" s="38" t="s">
        <v>36</v>
      </c>
      <c r="B15" s="78">
        <v>-4.52</v>
      </c>
      <c r="C15" s="78">
        <v>0.06</v>
      </c>
      <c r="D15" s="78">
        <v>-0.49</v>
      </c>
    </row>
    <row r="16" spans="1:4">
      <c r="A16" s="38" t="s">
        <v>37</v>
      </c>
      <c r="B16" s="79">
        <v>0.12</v>
      </c>
      <c r="C16" s="79">
        <v>0.02</v>
      </c>
      <c r="D16" s="79">
        <v>0.07</v>
      </c>
    </row>
    <row r="17" spans="1:4">
      <c r="A17" s="38" t="s">
        <v>38</v>
      </c>
      <c r="B17" s="78">
        <v>0.43</v>
      </c>
      <c r="C17" s="78">
        <v>0.6</v>
      </c>
      <c r="D17" s="78">
        <v>0.7</v>
      </c>
    </row>
    <row r="18" spans="1:4">
      <c r="A18" s="38" t="s">
        <v>39</v>
      </c>
      <c r="B18" s="78">
        <v>0.43</v>
      </c>
      <c r="C18" s="78">
        <v>0.59</v>
      </c>
      <c r="D18" s="78">
        <v>0.7</v>
      </c>
    </row>
    <row r="19" spans="1:4">
      <c r="A19" s="38" t="s">
        <v>21</v>
      </c>
      <c r="B19" s="78">
        <v>0.04</v>
      </c>
      <c r="C19" s="78">
        <v>0.25</v>
      </c>
      <c r="D19" s="78">
        <v>0.21</v>
      </c>
    </row>
    <row r="20" spans="1:4">
      <c r="A20" s="38" t="s">
        <v>40</v>
      </c>
      <c r="B20" s="76">
        <v>-682000</v>
      </c>
      <c r="C20" s="76">
        <v>3564000</v>
      </c>
      <c r="D20" s="76">
        <v>-2347000</v>
      </c>
    </row>
    <row r="21" spans="1:4">
      <c r="A21" s="38" t="s">
        <v>41</v>
      </c>
      <c r="B21" s="76">
        <v>25674000</v>
      </c>
      <c r="C21" s="76">
        <v>12833000</v>
      </c>
      <c r="D21" s="76">
        <v>15401000</v>
      </c>
    </row>
    <row r="22" spans="1:4">
      <c r="A22" s="38" t="s">
        <v>42</v>
      </c>
      <c r="B22" s="75">
        <v>26356000</v>
      </c>
      <c r="C22" s="76">
        <v>9266000</v>
      </c>
      <c r="D22" s="76">
        <v>17748000</v>
      </c>
    </row>
    <row r="23" spans="1:4">
      <c r="A23" s="38" t="s">
        <v>43</v>
      </c>
      <c r="B23" s="76">
        <v>2712000</v>
      </c>
      <c r="C23" s="80">
        <v>883000</v>
      </c>
      <c r="D23" s="76">
        <v>1487000</v>
      </c>
    </row>
    <row r="24" spans="1:4">
      <c r="A24" s="38" t="s">
        <v>44</v>
      </c>
      <c r="B24" s="76">
        <v>738000</v>
      </c>
      <c r="C24" s="80">
        <v>493000</v>
      </c>
      <c r="D24" s="76">
        <v>457000</v>
      </c>
    </row>
    <row r="25" ht="15" spans="1:4">
      <c r="A25" s="81" t="s">
        <v>45</v>
      </c>
      <c r="B25" s="76">
        <v>12760000</v>
      </c>
      <c r="C25" s="80">
        <v>3370000</v>
      </c>
      <c r="D25" s="82">
        <v>10120000</v>
      </c>
    </row>
    <row r="26" spans="1:4">
      <c r="A26" s="81" t="s">
        <v>46</v>
      </c>
      <c r="B26" s="76">
        <f>B8</f>
        <v>3924000</v>
      </c>
      <c r="C26" s="76">
        <f>C8</f>
        <v>322000</v>
      </c>
      <c r="D26" s="76">
        <v>2156000</v>
      </c>
    </row>
    <row r="27" spans="1:4">
      <c r="A27" s="81" t="s">
        <v>47</v>
      </c>
      <c r="B27" s="76">
        <v>3378000</v>
      </c>
      <c r="C27" s="75">
        <v>894000</v>
      </c>
      <c r="D27" s="76">
        <v>2303000</v>
      </c>
    </row>
    <row r="28" spans="1:4">
      <c r="A28" s="81" t="s">
        <v>48</v>
      </c>
      <c r="B28" s="76">
        <v>3311000</v>
      </c>
      <c r="C28" s="76">
        <v>2130000</v>
      </c>
      <c r="D28" s="76">
        <v>2614000</v>
      </c>
    </row>
    <row r="29" spans="1:4">
      <c r="A29" s="81" t="s">
        <v>49</v>
      </c>
      <c r="B29" s="76">
        <v>7762000</v>
      </c>
      <c r="C29" s="76">
        <v>3578000</v>
      </c>
      <c r="D29" s="76">
        <v>3722000</v>
      </c>
    </row>
    <row r="30" spans="1:4">
      <c r="A30" s="81" t="s">
        <v>50</v>
      </c>
      <c r="B30" s="76">
        <v>338000</v>
      </c>
      <c r="C30" s="76">
        <v>896000</v>
      </c>
      <c r="D30" s="76">
        <v>800000</v>
      </c>
    </row>
    <row r="31" spans="1:4">
      <c r="A31" s="81" t="s">
        <v>51</v>
      </c>
      <c r="B31" s="78">
        <v>290540</v>
      </c>
      <c r="C31" s="78">
        <v>103033</v>
      </c>
      <c r="D31" s="78">
        <v>172681</v>
      </c>
    </row>
    <row r="32" spans="1:4">
      <c r="A32" s="81" t="s">
        <v>52</v>
      </c>
      <c r="B32" s="78">
        <v>0</v>
      </c>
      <c r="C32" s="76">
        <v>9000</v>
      </c>
      <c r="D32" s="78">
        <v>0</v>
      </c>
    </row>
    <row r="33" spans="1:4">
      <c r="A33" s="81" t="s">
        <v>53</v>
      </c>
      <c r="B33" s="75">
        <v>290540</v>
      </c>
      <c r="C33" s="76">
        <v>103033</v>
      </c>
      <c r="D33" s="76">
        <v>253488</v>
      </c>
    </row>
    <row r="34" spans="1:4">
      <c r="A34" s="81" t="s">
        <v>54</v>
      </c>
      <c r="B34" s="78">
        <v>0</v>
      </c>
      <c r="C34" s="78">
        <v>0</v>
      </c>
      <c r="D34" s="76">
        <v>80807</v>
      </c>
    </row>
    <row r="35" spans="1:4">
      <c r="A35" s="83" t="s">
        <v>55</v>
      </c>
      <c r="B35" s="84">
        <v>565000</v>
      </c>
      <c r="C35" s="84">
        <v>145000</v>
      </c>
      <c r="D35" s="85">
        <v>464000</v>
      </c>
    </row>
    <row r="36" spans="1:4">
      <c r="A36" s="83" t="s">
        <v>56</v>
      </c>
      <c r="B36" s="85">
        <v>201.33</v>
      </c>
      <c r="C36" s="85">
        <v>130.28</v>
      </c>
      <c r="D36" s="85">
        <v>201.33</v>
      </c>
    </row>
    <row r="37" spans="1:4">
      <c r="A37" s="83" t="s">
        <v>57</v>
      </c>
      <c r="B37" s="85">
        <v>10.18</v>
      </c>
      <c r="C37" s="85">
        <v>2.05</v>
      </c>
      <c r="D37" s="85">
        <v>4.33</v>
      </c>
    </row>
    <row r="38" spans="1:4">
      <c r="A38" s="83" t="s">
        <v>58</v>
      </c>
      <c r="B38" s="86">
        <v>452000</v>
      </c>
      <c r="C38" s="84">
        <v>208000</v>
      </c>
      <c r="D38" s="86">
        <v>247000</v>
      </c>
    </row>
    <row r="39" spans="1:4">
      <c r="A39" s="83" t="s">
        <v>59</v>
      </c>
      <c r="B39" s="86">
        <v>69000</v>
      </c>
      <c r="C39" s="86">
        <v>203000</v>
      </c>
      <c r="D39" s="84">
        <v>855000</v>
      </c>
    </row>
    <row r="40" spans="1:4">
      <c r="A40" s="83" t="s">
        <v>60</v>
      </c>
      <c r="B40" s="86">
        <v>587000</v>
      </c>
      <c r="C40" s="85">
        <v>47000</v>
      </c>
      <c r="D40" s="85">
        <v>158000</v>
      </c>
    </row>
    <row r="41" spans="1:4">
      <c r="A41" s="83" t="s">
        <v>61</v>
      </c>
      <c r="B41" s="86">
        <v>684000</v>
      </c>
      <c r="C41" s="86">
        <v>660000</v>
      </c>
      <c r="D41" s="86">
        <v>183000</v>
      </c>
    </row>
    <row r="42" spans="1:4">
      <c r="A42" s="44" t="s">
        <v>62</v>
      </c>
      <c r="B42" s="87">
        <f>B43+B25-B30</f>
        <v>70916418.2</v>
      </c>
      <c r="C42" s="87">
        <f>C43+C25-C30</f>
        <v>15897139.24</v>
      </c>
      <c r="D42" s="87">
        <f>D43+D25-D30</f>
        <v>44085865.73</v>
      </c>
    </row>
    <row r="43" spans="1:4">
      <c r="A43" s="46" t="s">
        <v>63</v>
      </c>
      <c r="B43" s="85">
        <f>'Peer Analysis (Grp 1)'!B43*'Peer Analysis (Grp 1)'!B46</f>
        <v>58494418.2</v>
      </c>
      <c r="C43" s="85">
        <f>'Peer Analysis (Grp 1)'!C43*'Peer Analysis (Grp 1)'!C46</f>
        <v>13423139.24</v>
      </c>
      <c r="D43" s="85">
        <f>'Peer Analysis (Grp 1)'!D43*'Peer Analysis (Grp 1)'!D46</f>
        <v>34765865.73</v>
      </c>
    </row>
    <row r="44" spans="1:4">
      <c r="A44" s="46" t="s">
        <v>64</v>
      </c>
      <c r="B44" s="85">
        <v>2109000</v>
      </c>
      <c r="C44" s="85">
        <v>656000</v>
      </c>
      <c r="D44" s="85">
        <v>1138000</v>
      </c>
    </row>
  </sheetData>
  <mergeCells count="3">
    <mergeCell ref="B2:B3"/>
    <mergeCell ref="C2:C3"/>
    <mergeCell ref="D2:D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7"/>
  <sheetViews>
    <sheetView tabSelected="1" topLeftCell="A39" workbookViewId="0">
      <selection activeCell="B48" sqref="B48"/>
    </sheetView>
  </sheetViews>
  <sheetFormatPr defaultColWidth="9" defaultRowHeight="14.25" outlineLevelCol="3"/>
  <cols>
    <col min="1" max="1" width="36.9545454545455" customWidth="1"/>
    <col min="2" max="2" width="14.5909090909091" customWidth="1"/>
    <col min="3" max="4" width="26.4545454545455" customWidth="1"/>
    <col min="7" max="7" width="37.3636363636364" customWidth="1"/>
    <col min="8" max="9" width="14.6818181818182"/>
    <col min="10" max="10" width="16.4545454545455"/>
    <col min="11" max="12" width="14.6818181818182"/>
    <col min="13" max="13" width="16.4545454545455"/>
  </cols>
  <sheetData>
    <row r="1" spans="1:4">
      <c r="A1" s="48"/>
      <c r="B1" s="49" t="s">
        <v>22</v>
      </c>
      <c r="C1" s="49" t="s">
        <v>23</v>
      </c>
      <c r="D1" s="49" t="s">
        <v>24</v>
      </c>
    </row>
    <row r="2" spans="1:4">
      <c r="A2" s="48"/>
      <c r="B2" s="49"/>
      <c r="C2" s="49"/>
      <c r="D2" s="49"/>
    </row>
    <row r="3" ht="15" spans="1:4">
      <c r="A3" s="48"/>
      <c r="B3" s="50">
        <v>2023</v>
      </c>
      <c r="C3" s="51">
        <v>2023</v>
      </c>
      <c r="D3" s="51">
        <v>2023</v>
      </c>
    </row>
    <row r="4" spans="1:4">
      <c r="A4" s="48"/>
      <c r="B4" s="52"/>
      <c r="C4" s="52"/>
      <c r="D4" s="52"/>
    </row>
    <row r="5" spans="1:4">
      <c r="A5" s="53" t="s">
        <v>65</v>
      </c>
      <c r="B5" s="52"/>
      <c r="C5" s="52"/>
      <c r="D5" s="52"/>
    </row>
    <row r="6" spans="1:4">
      <c r="A6" s="54" t="s">
        <v>66</v>
      </c>
      <c r="B6" s="55">
        <f>'Data (Grp 1)'!B28/'Data (Grp 1)'!B29</f>
        <v>0.426565318216954</v>
      </c>
      <c r="C6" s="55">
        <f>'Data (Grp 1)'!C28/'Data (Grp 1)'!C29</f>
        <v>0.595304639463387</v>
      </c>
      <c r="D6" s="55">
        <f>'Data (Grp 1)'!D28/'Data (Grp 1)'!D29</f>
        <v>0.702310585706609</v>
      </c>
    </row>
    <row r="7" spans="1:4">
      <c r="A7" s="54" t="s">
        <v>67</v>
      </c>
      <c r="B7" s="55">
        <f>('Data (Grp 1)'!B28-'Data (Grp 1)'!B32)/'Data (Grp 1)'!B29</f>
        <v>0.426565318216954</v>
      </c>
      <c r="C7" s="55">
        <f>('Data (Grp 1)'!C28-'Data (Grp 1)'!C32)/'Data (Grp 1)'!C29</f>
        <v>0.592789267747345</v>
      </c>
      <c r="D7" s="55">
        <f>('Data (Grp 1)'!D28-'Data (Grp 1)'!D32)/'Data (Grp 1)'!D29</f>
        <v>0.702310585706609</v>
      </c>
    </row>
    <row r="8" spans="1:4">
      <c r="A8" s="54" t="s">
        <v>68</v>
      </c>
      <c r="B8" s="55">
        <f>'Data (Grp 1)'!B30/'Data (Grp 1)'!B29</f>
        <v>0.0435454779695955</v>
      </c>
      <c r="C8" s="55">
        <f>'Data (Grp 1)'!C30/'Data (Grp 1)'!C29</f>
        <v>0.25041922861934</v>
      </c>
      <c r="D8" s="55">
        <f>'Data (Grp 1)'!D30/'Data (Grp 1)'!D29</f>
        <v>0.214938205265986</v>
      </c>
    </row>
    <row r="9" spans="1:4">
      <c r="A9" s="54" t="s">
        <v>69</v>
      </c>
      <c r="B9" s="55">
        <f>('Data (Grp 1)'!B30+'Data (Grp 1)'!B23)/(('Data (Grp 1)'!B10-'Data (Grp 1)'!B11)/365)</f>
        <v>1101.137487636</v>
      </c>
      <c r="C9" s="55">
        <f>('Data (Grp 1)'!C30+'Data (Grp 1)'!C23)/(('Data (Grp 1)'!C10-'Data (Grp 1)'!C11)/365)</f>
        <v>1085.84448160535</v>
      </c>
      <c r="D9" s="55">
        <f>('Data (Grp 1)'!D30+'Data (Grp 1)'!D23)/(('Data (Grp 1)'!D10-'Data (Grp 1)'!D11)/365)</f>
        <v>1605.29807692308</v>
      </c>
    </row>
    <row r="10" spans="1:4">
      <c r="A10" s="54" t="s">
        <v>70</v>
      </c>
      <c r="B10" s="55">
        <f>'Data (Grp 1)'!B32/('Data (Grp 1)'!B6/365)</f>
        <v>0</v>
      </c>
      <c r="C10" s="55">
        <f>'Data (Grp 1)'!C32/('Data (Grp 1)'!C6/365)</f>
        <v>0.614018691588785</v>
      </c>
      <c r="D10" s="55">
        <f>'Data (Grp 1)'!D32/('Data (Grp 1)'!D6/365)</f>
        <v>0</v>
      </c>
    </row>
    <row r="11" spans="1:4">
      <c r="A11" s="54" t="s">
        <v>71</v>
      </c>
      <c r="B11" s="55">
        <f>'Data (Grp 1)'!B24/('Data (Grp 1)'!B6/365)</f>
        <v>14.4908279089784</v>
      </c>
      <c r="C11" s="55">
        <f>'Data (Grp 1)'!C24/('Data (Grp 1)'!C6/365)</f>
        <v>33.6345794392523</v>
      </c>
      <c r="D11" s="55">
        <f>'Data (Grp 1)'!D24/('Data (Grp 1)'!D6/365)</f>
        <v>22.8343600273785</v>
      </c>
    </row>
    <row r="12" spans="1:4">
      <c r="A12" s="54" t="s">
        <v>72</v>
      </c>
      <c r="B12" s="55">
        <f>'Data (Grp 1)'!B23/('Data (Grp 1)'!B5/365)</f>
        <v>41.7441909501118</v>
      </c>
      <c r="C12" s="55">
        <f>'Data (Grp 1)'!C23/('Data (Grp 1)'!C5/365)</f>
        <v>48.3418329083546</v>
      </c>
      <c r="D12" s="55">
        <f>'Data (Grp 1)'!D23/('Data (Grp 1)'!D5/365)</f>
        <v>53.0293111871031</v>
      </c>
    </row>
    <row r="13" spans="1:4">
      <c r="A13" s="54" t="s">
        <v>73</v>
      </c>
      <c r="B13" s="55">
        <f>B12+B10-B11</f>
        <v>27.2533630411333</v>
      </c>
      <c r="C13" s="55">
        <f>C12+C10-C11</f>
        <v>15.321272160691</v>
      </c>
      <c r="D13" s="55">
        <f>D12+D10-D11</f>
        <v>30.1949511597246</v>
      </c>
    </row>
    <row r="14" spans="1:4">
      <c r="A14" s="54" t="s">
        <v>74</v>
      </c>
      <c r="B14" s="56">
        <f>B15/'Data (Grp 1)'!B5</f>
        <v>-0.187702947750179</v>
      </c>
      <c r="C14" s="56">
        <f>C15/'Data (Grp 1)'!C5</f>
        <v>-0.217189140542973</v>
      </c>
      <c r="D14" s="56">
        <f>D15/'Data (Grp 1)'!D5</f>
        <v>-0.108255984367367</v>
      </c>
    </row>
    <row r="15" spans="1:4">
      <c r="A15" s="57" t="s">
        <v>75</v>
      </c>
      <c r="B15" s="55">
        <f>'Data (Grp 1)'!B28-'Data (Grp 1)'!B29</f>
        <v>-4451000</v>
      </c>
      <c r="C15" s="55">
        <f>'Data (Grp 1)'!C28-'Data (Grp 1)'!C29</f>
        <v>-1448000</v>
      </c>
      <c r="D15" s="55">
        <f>'Data (Grp 1)'!D28-'Data (Grp 1)'!D29</f>
        <v>-1108000</v>
      </c>
    </row>
    <row r="16" spans="1:4">
      <c r="A16" s="53" t="s">
        <v>76</v>
      </c>
      <c r="B16" s="58">
        <f>'Data (Grp 1)'!B39</f>
        <v>69000</v>
      </c>
      <c r="C16" s="58">
        <f>'Data (Grp 1)'!C39</f>
        <v>203000</v>
      </c>
      <c r="D16" s="58">
        <f>'Data (Grp 1)'!D39</f>
        <v>855000</v>
      </c>
    </row>
    <row r="17" spans="1:4">
      <c r="A17" s="53"/>
      <c r="B17" s="52"/>
      <c r="C17" s="52"/>
      <c r="D17" s="52"/>
    </row>
    <row r="18" spans="1:4">
      <c r="A18" s="59" t="s">
        <v>77</v>
      </c>
      <c r="B18" s="52"/>
      <c r="C18" s="52"/>
      <c r="D18" s="52"/>
    </row>
    <row r="19" spans="1:4">
      <c r="A19" s="54" t="s">
        <v>78</v>
      </c>
      <c r="B19" s="55">
        <f>'Data (Grp 1)'!B7/'Data (Grp 1)'!B5</f>
        <v>0.216084004554464</v>
      </c>
      <c r="C19" s="55">
        <f>'Data (Grp 1)'!C7/'Data (Grp 1)'!C5</f>
        <v>0.19754012299385</v>
      </c>
      <c r="D19" s="55">
        <f>'Data (Grp 1)'!D7/'Data (Grp 1)'!D5</f>
        <v>0.286272594040059</v>
      </c>
    </row>
    <row r="20" spans="1:4">
      <c r="A20" s="54" t="s">
        <v>79</v>
      </c>
      <c r="B20" s="55">
        <f>'Data (Grp 1)'!B27/'Data (Grp 1)'!B5</f>
        <v>0.142453506515413</v>
      </c>
      <c r="C20" s="55">
        <f>'Data (Grp 1)'!C27/'Data (Grp 1)'!C5</f>
        <v>0.134093295335233</v>
      </c>
      <c r="D20" s="55">
        <f>'Data (Grp 1)'!D27/'Data (Grp 1)'!D5</f>
        <v>0.225012212994626</v>
      </c>
    </row>
    <row r="21" spans="1:4">
      <c r="A21" s="57" t="s">
        <v>80</v>
      </c>
      <c r="B21" s="55"/>
      <c r="C21" s="55"/>
      <c r="D21" s="55"/>
    </row>
    <row r="22" spans="1:4">
      <c r="A22" s="54" t="s">
        <v>81</v>
      </c>
      <c r="B22" s="55">
        <f>'Data (Grp 1)'!B26/'Data (Grp 1)'!B5</f>
        <v>0.16547885126302</v>
      </c>
      <c r="C22" s="55">
        <f>'Data (Grp 1)'!C26/'Data (Grp 1)'!C5</f>
        <v>0.048297585120744</v>
      </c>
      <c r="D22" s="55">
        <f>'Data (Grp 1)'!D26/'Data (Grp 1)'!D5</f>
        <v>0.210649731314118</v>
      </c>
    </row>
    <row r="23" spans="1:4">
      <c r="A23" s="57" t="s">
        <v>82</v>
      </c>
      <c r="B23" s="52"/>
      <c r="C23" s="52"/>
      <c r="D23" s="52"/>
    </row>
    <row r="24" spans="1:4">
      <c r="A24" s="54" t="s">
        <v>83</v>
      </c>
      <c r="B24" s="56">
        <f>'Data (Grp 1)'!B12/'Data (Grp 1)'!B5</f>
        <v>0.130013072997934</v>
      </c>
      <c r="C24" s="56">
        <f>'Data (Grp 1)'!C12/'Data (Grp 1)'!C5</f>
        <v>0.0329983500824959</v>
      </c>
      <c r="D24" s="56">
        <f>'Data (Grp 1)'!D12/'Data (Grp 1)'!D5</f>
        <v>0.111480214948705</v>
      </c>
    </row>
    <row r="25" spans="1:4">
      <c r="A25" s="60"/>
      <c r="B25" s="52"/>
      <c r="C25" s="52"/>
      <c r="D25" s="52"/>
    </row>
    <row r="26" spans="1:4">
      <c r="A26" s="53" t="s">
        <v>84</v>
      </c>
      <c r="B26" s="52"/>
      <c r="C26" s="52"/>
      <c r="D26" s="52"/>
    </row>
    <row r="27" spans="1:4">
      <c r="A27" s="54" t="s">
        <v>85</v>
      </c>
      <c r="B27" s="55">
        <f>'Data (Grp 1)'!B22/'Data (Grp 1)'!B20</f>
        <v>-38.6451612903226</v>
      </c>
      <c r="C27" s="55">
        <f>'Data (Grp 1)'!C22/'Data (Grp 1)'!C20</f>
        <v>2.59988776655443</v>
      </c>
      <c r="D27" s="55">
        <f>'Data (Grp 1)'!D22/'Data (Grp 1)'!D20</f>
        <v>-7.56199403493822</v>
      </c>
    </row>
    <row r="28" spans="1:4">
      <c r="A28" s="54" t="s">
        <v>86</v>
      </c>
      <c r="B28" s="55">
        <f>'Data (Grp 1)'!B22/'Data (Grp 1)'!B21</f>
        <v>1.02656383890317</v>
      </c>
      <c r="C28" s="55">
        <f>'Data (Grp 1)'!C22/'Data (Grp 1)'!C21</f>
        <v>0.722044728434505</v>
      </c>
      <c r="D28" s="55">
        <f>'Data (Grp 1)'!D22/'Data (Grp 1)'!D21</f>
        <v>1.15239270177261</v>
      </c>
    </row>
    <row r="29" spans="1:4">
      <c r="A29" s="54" t="s">
        <v>87</v>
      </c>
      <c r="B29" s="55">
        <f>('Data (Grp 1)'!B22-'Data (Grp 1)'!B29)/'Data (Grp 1)'!B20</f>
        <v>-27.2639296187683</v>
      </c>
      <c r="C29" s="55">
        <f>('Data (Grp 1)'!C22-'Data (Grp 1)'!C29)/'Data (Grp 1)'!C20</f>
        <v>1.5959595959596</v>
      </c>
      <c r="D29" s="55">
        <f>('Data (Grp 1)'!D22-'Data (Grp 1)'!D29)/'Data (Grp 1)'!D20</f>
        <v>-5.97613975287601</v>
      </c>
    </row>
    <row r="30" spans="1:4">
      <c r="A30" s="54" t="s">
        <v>88</v>
      </c>
      <c r="B30" s="55">
        <f>'Data (Grp 1)'!B26/'Data (Grp 1)'!B35</f>
        <v>6.94513274336283</v>
      </c>
      <c r="C30" s="55">
        <f>'Data (Grp 1)'!C26/'Data (Grp 1)'!C35</f>
        <v>2.22068965517241</v>
      </c>
      <c r="D30" s="55">
        <f>'Data (Grp 1)'!D26/'Data (Grp 1)'!D35</f>
        <v>4.64655172413793</v>
      </c>
    </row>
    <row r="31" spans="1:4">
      <c r="A31" s="54" t="s">
        <v>89</v>
      </c>
      <c r="B31" s="55">
        <f>'Data (Grp 1)'!B8/'Data (Grp 1)'!B41</f>
        <v>5.73684210526316</v>
      </c>
      <c r="C31" s="55">
        <f>'Data (Grp 1)'!C8/'Data (Grp 1)'!C41</f>
        <v>0.487878787878788</v>
      </c>
      <c r="D31" s="55">
        <f>'Data (Grp 1)'!D8/'Data (Grp 1)'!D41</f>
        <v>12.3661202185792</v>
      </c>
    </row>
    <row r="32" spans="1:4">
      <c r="A32" s="54" t="s">
        <v>90</v>
      </c>
      <c r="B32" s="55">
        <f>B33/B46</f>
        <v>16.7274729813451</v>
      </c>
      <c r="C32" s="55">
        <f>C33/C46</f>
        <v>8.36625158929663</v>
      </c>
      <c r="D32" s="55">
        <f>D33/D46</f>
        <v>7.66731719181612</v>
      </c>
    </row>
    <row r="33" spans="1:4">
      <c r="A33" s="57" t="s">
        <v>91</v>
      </c>
      <c r="B33" s="55">
        <f>'Data (Grp 1)'!B12-('Data (Grp 1)'!B38-'Data (Grp 1)'!B11)-'Data (Grp 1)'!B39+'Data (Grp 1)'!B44</f>
        <v>4860000</v>
      </c>
      <c r="C33" s="55">
        <f>'Data (Grp 1)'!C12-('Data (Grp 1)'!C38-'Data (Grp 1)'!C11)-'Data (Grp 1)'!C39+'Data (Grp 1)'!C44</f>
        <v>862000</v>
      </c>
      <c r="D33" s="55">
        <f>'Data (Grp 1)'!D12-('Data (Grp 1)'!D38-'Data (Grp 1)'!D11)-'Data (Grp 1)'!D39+'Data (Grp 1)'!D44</f>
        <v>1324000</v>
      </c>
    </row>
    <row r="34" spans="1:4">
      <c r="A34" s="60"/>
      <c r="B34" s="52"/>
      <c r="C34" s="52"/>
      <c r="D34" s="52"/>
    </row>
    <row r="35" spans="1:4">
      <c r="A35" s="59" t="s">
        <v>92</v>
      </c>
      <c r="B35" s="52"/>
      <c r="C35" s="52"/>
      <c r="D35" s="52"/>
    </row>
    <row r="36" spans="1:4">
      <c r="A36" s="54" t="s">
        <v>93</v>
      </c>
      <c r="B36" s="55">
        <f>'Data (Grp 1)'!B5/'Data (Grp 1)'!B21</f>
        <v>0.923619225675781</v>
      </c>
      <c r="C36" s="55">
        <f>'Data (Grp 1)'!C5/'Data (Grp 1)'!C21</f>
        <v>0.519519987532144</v>
      </c>
      <c r="D36" s="55">
        <f>'Data (Grp 1)'!D5/'Data (Grp 1)'!D21</f>
        <v>0.664567235893773</v>
      </c>
    </row>
    <row r="37" spans="1:4">
      <c r="A37" s="54" t="s">
        <v>94</v>
      </c>
      <c r="B37" s="55">
        <f>'Data (Grp 1)'!B5/('Data (Grp 1)'!B21-'Data (Grp 1)'!B28)</f>
        <v>1.06036757143496</v>
      </c>
      <c r="C37" s="55">
        <f>'Data (Grp 1)'!C5/('Data (Grp 1)'!C21-'Data (Grp 1)'!C28)</f>
        <v>0.622909464636083</v>
      </c>
      <c r="D37" s="55">
        <f>'Data (Grp 1)'!D5/('Data (Grp 1)'!D21-'Data (Grp 1)'!D28)</f>
        <v>0.800422303902401</v>
      </c>
    </row>
    <row r="38" spans="1:4">
      <c r="A38" s="54" t="s">
        <v>95</v>
      </c>
      <c r="B38" s="55"/>
      <c r="C38" s="55">
        <f>'Data (Grp 1)'!C6/'Data (Grp 1)'!C32</f>
        <v>594.444444444444</v>
      </c>
      <c r="D38" s="55"/>
    </row>
    <row r="39" spans="1:4">
      <c r="A39" s="54" t="s">
        <v>96</v>
      </c>
      <c r="B39" s="55">
        <f>'Data (Grp 1)'!B12/'Data (Grp 1)'!B21</f>
        <v>0.12008257381008</v>
      </c>
      <c r="C39" s="55">
        <f>'Data (Grp 1)'!C12/'Data (Grp 1)'!C21</f>
        <v>0.0171433024234396</v>
      </c>
      <c r="D39" s="55">
        <f>'Data (Grp 1)'!D12/'Data (Grp 1)'!D21</f>
        <v>0.0740860983053049</v>
      </c>
    </row>
    <row r="40" spans="1:4">
      <c r="A40" s="60"/>
      <c r="B40" s="52"/>
      <c r="C40" s="52"/>
      <c r="D40" s="52"/>
    </row>
    <row r="41" spans="1:4">
      <c r="A41" s="59" t="s">
        <v>97</v>
      </c>
      <c r="B41" s="52"/>
      <c r="C41" s="52"/>
      <c r="D41" s="52"/>
    </row>
    <row r="42" spans="1:4">
      <c r="A42" s="54" t="s">
        <v>98</v>
      </c>
      <c r="B42" s="61">
        <f>'Data (Grp 1)'!B36/'Data (Grp 1)'!B37</f>
        <v>19.7770137524558</v>
      </c>
      <c r="C42" s="61">
        <f>'Data (Grp 1)'!C36/'Data (Grp 1)'!C37</f>
        <v>63.5512195121951</v>
      </c>
      <c r="D42" s="61">
        <f>'Data (Grp 1)'!D36/'Data (Grp 1)'!D37</f>
        <v>46.4965357967667</v>
      </c>
    </row>
    <row r="43" spans="1:4">
      <c r="A43" s="62" t="s">
        <v>99</v>
      </c>
      <c r="B43" s="52">
        <f>'Data (Grp 1)'!B36</f>
        <v>201.33</v>
      </c>
      <c r="C43" s="52">
        <f>'Data (Grp 1)'!C36</f>
        <v>130.28</v>
      </c>
      <c r="D43" s="52">
        <f>'Data (Grp 1)'!D36</f>
        <v>201.33</v>
      </c>
    </row>
    <row r="44" spans="1:4">
      <c r="A44" s="57" t="s">
        <v>100</v>
      </c>
      <c r="B44" s="52">
        <f>'Data (Grp 1)'!B37</f>
        <v>10.18</v>
      </c>
      <c r="C44" s="52">
        <f>'Data (Grp 1)'!C37</f>
        <v>2.05</v>
      </c>
      <c r="D44" s="52">
        <f>'Data (Grp 1)'!D37</f>
        <v>4.33</v>
      </c>
    </row>
    <row r="45" spans="1:4">
      <c r="A45" s="54" t="s">
        <v>101</v>
      </c>
      <c r="B45" s="55">
        <f>B47</f>
        <v>-2.34735320437805</v>
      </c>
      <c r="C45" s="55">
        <f>C47</f>
        <v>34.5908592392729</v>
      </c>
      <c r="D45" s="55">
        <f>D47</f>
        <v>-13.5915358377586</v>
      </c>
    </row>
    <row r="46" spans="1:4">
      <c r="A46" s="54" t="s">
        <v>102</v>
      </c>
      <c r="B46" s="52">
        <f>'Data (Grp 1)'!B31</f>
        <v>290540</v>
      </c>
      <c r="C46" s="52">
        <f>'Data (Grp 1)'!C31</f>
        <v>103033</v>
      </c>
      <c r="D46" s="52">
        <f>'Data (Grp 1)'!D31</f>
        <v>172681</v>
      </c>
    </row>
    <row r="47" spans="1:4">
      <c r="A47" s="57" t="s">
        <v>103</v>
      </c>
      <c r="B47" s="55">
        <f>'Data (Grp 1)'!B20/B46</f>
        <v>-2.34735320437805</v>
      </c>
      <c r="C47" s="55">
        <f>'Data (Grp 1)'!C20/C46</f>
        <v>34.5908592392729</v>
      </c>
      <c r="D47" s="55">
        <f>'Data (Grp 1)'!D20/D46</f>
        <v>-13.5915358377586</v>
      </c>
    </row>
    <row r="48" spans="1:4">
      <c r="A48" s="54" t="s">
        <v>104</v>
      </c>
      <c r="B48" s="56">
        <f>B49/B44</f>
        <v>0.198465211381341</v>
      </c>
      <c r="C48" s="56">
        <f>C49/C44</f>
        <v>0.222519282834555</v>
      </c>
      <c r="D48" s="56">
        <f>D49/D44</f>
        <v>0.211312231167877</v>
      </c>
    </row>
    <row r="49" spans="1:4">
      <c r="A49" s="57" t="s">
        <v>105</v>
      </c>
      <c r="B49" s="63">
        <f>'Data (Grp 1)'!B40/B46</f>
        <v>2.02037585186205</v>
      </c>
      <c r="C49" s="63">
        <f>'Data (Grp 1)'!C40/C46</f>
        <v>0.456164529810837</v>
      </c>
      <c r="D49" s="63">
        <f>'Data (Grp 1)'!D40/D46</f>
        <v>0.914981960956909</v>
      </c>
    </row>
    <row r="50" spans="1:4">
      <c r="A50" s="54" t="s">
        <v>106</v>
      </c>
      <c r="B50" s="64">
        <f>B49/B43</f>
        <v>0.0100351455414595</v>
      </c>
      <c r="C50" s="64">
        <f>C49/C43</f>
        <v>0.00350141640935552</v>
      </c>
      <c r="D50" s="64">
        <f>D49/D43</f>
        <v>0.00454468763203154</v>
      </c>
    </row>
    <row r="51" spans="1:4">
      <c r="A51" s="54" t="s">
        <v>107</v>
      </c>
      <c r="B51" s="55">
        <f>'Data (Grp 1)'!B12/'Data (Grp 1)'!B20</f>
        <v>-4.52052785923754</v>
      </c>
      <c r="C51" s="55">
        <f>'Data (Grp 1)'!C12/'Data (Grp 1)'!C20</f>
        <v>0.0617283950617284</v>
      </c>
      <c r="D51" s="55">
        <f>'Data (Grp 1)'!D12/'Data (Grp 1)'!D20</f>
        <v>-0.486152535151257</v>
      </c>
    </row>
    <row r="52" spans="1:4">
      <c r="A52" s="54" t="s">
        <v>108</v>
      </c>
      <c r="B52" s="55">
        <f>'Data (Grp 1)'!B26/B53</f>
        <v>0.219071013845467</v>
      </c>
      <c r="C52" s="55">
        <f>'Data (Grp 1)'!C26/C53</f>
        <v>0.0348032857760484</v>
      </c>
      <c r="D52" s="55">
        <f>'Data (Grp 1)'!D26/D53</f>
        <v>0.184604846305334</v>
      </c>
    </row>
    <row r="53" spans="1:4">
      <c r="A53" s="54" t="s">
        <v>109</v>
      </c>
      <c r="B53" s="55">
        <f>'Data (Grp 1)'!B20+'Data (Grp 1)'!B22-'Data (Grp 1)'!B29</f>
        <v>17912000</v>
      </c>
      <c r="C53" s="55">
        <f>'Data (Grp 1)'!C20+'Data (Grp 1)'!C22-'Data (Grp 1)'!C29</f>
        <v>9252000</v>
      </c>
      <c r="D53" s="55">
        <f>'Data (Grp 1)'!D20+'Data (Grp 1)'!D22-'Data (Grp 1)'!D29</f>
        <v>11679000</v>
      </c>
    </row>
    <row r="54" spans="1:4">
      <c r="A54" s="54" t="s">
        <v>110</v>
      </c>
      <c r="B54" s="55">
        <f>'Data (Grp 1)'!B42/'Data (Grp 1)'!B27</f>
        <v>20.99361107164</v>
      </c>
      <c r="C54" s="55">
        <f>'Data (Grp 1)'!C42/'Data (Grp 1)'!C27</f>
        <v>17.7820349440716</v>
      </c>
      <c r="D54" s="55">
        <f>'Data (Grp 1)'!D42/'Data (Grp 1)'!D27</f>
        <v>19.1427988406426</v>
      </c>
    </row>
    <row r="95" spans="1:1">
      <c r="A95" s="23"/>
    </row>
    <row r="96" spans="1:1">
      <c r="A96" s="23"/>
    </row>
    <row r="97" spans="1:1">
      <c r="A97" s="23"/>
    </row>
  </sheetData>
  <mergeCells count="3">
    <mergeCell ref="B1:B2"/>
    <mergeCell ref="C1:C2"/>
    <mergeCell ref="D1:D2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topLeftCell="A25" workbookViewId="0">
      <selection activeCell="A31" sqref="A31"/>
    </sheetView>
  </sheetViews>
  <sheetFormatPr defaultColWidth="8.72727272727273" defaultRowHeight="14.25" outlineLevelCol="3"/>
  <cols>
    <col min="1" max="1" width="40.0454545454545" customWidth="1"/>
    <col min="2" max="2" width="16.8181818181818" customWidth="1"/>
    <col min="3" max="3" width="14.6363636363636" customWidth="1"/>
    <col min="4" max="4" width="19.8636363636364" customWidth="1"/>
  </cols>
  <sheetData>
    <row r="1" spans="1:4">
      <c r="A1" s="24" t="s">
        <v>25</v>
      </c>
      <c r="B1" s="25" t="s">
        <v>3</v>
      </c>
      <c r="C1" s="26" t="s">
        <v>19</v>
      </c>
      <c r="D1" s="26" t="s">
        <v>111</v>
      </c>
    </row>
    <row r="2" spans="1:4">
      <c r="A2" s="24"/>
      <c r="B2" s="27"/>
      <c r="C2" s="28"/>
      <c r="D2" s="28"/>
    </row>
    <row r="3" spans="1:4">
      <c r="A3" s="29" t="s">
        <v>112</v>
      </c>
      <c r="B3" s="30">
        <v>2023</v>
      </c>
      <c r="C3" s="30">
        <v>2023</v>
      </c>
      <c r="D3" s="30">
        <v>2023</v>
      </c>
    </row>
    <row r="4" spans="1:4">
      <c r="A4" s="31" t="s">
        <v>26</v>
      </c>
      <c r="B4" s="32">
        <v>85159000</v>
      </c>
      <c r="C4" s="32">
        <v>58496000</v>
      </c>
      <c r="D4" s="32">
        <v>30328000</v>
      </c>
    </row>
    <row r="5" spans="1:4">
      <c r="A5" s="31" t="s">
        <v>27</v>
      </c>
      <c r="B5" s="32">
        <v>26553000</v>
      </c>
      <c r="C5" s="32">
        <v>24954000</v>
      </c>
      <c r="D5" s="32">
        <v>13587230</v>
      </c>
    </row>
    <row r="6" spans="1:4">
      <c r="A6" s="31" t="s">
        <v>28</v>
      </c>
      <c r="B6" s="32">
        <v>58606000</v>
      </c>
      <c r="C6" s="32">
        <v>33542000</v>
      </c>
      <c r="D6" s="32">
        <v>21763000</v>
      </c>
    </row>
    <row r="7" spans="1:4">
      <c r="A7" s="31" t="s">
        <v>113</v>
      </c>
      <c r="B7" s="33">
        <f>B6/B4</f>
        <v>0.688195023426766</v>
      </c>
      <c r="C7" s="33">
        <f>C6/C4</f>
        <v>0.573406728665208</v>
      </c>
      <c r="D7" s="33">
        <f>D6/D4</f>
        <v>0.717587707728831</v>
      </c>
    </row>
    <row r="8" spans="1:4">
      <c r="A8" s="31" t="s">
        <v>29</v>
      </c>
      <c r="B8" s="32">
        <v>22009000</v>
      </c>
      <c r="C8" s="32">
        <v>3359000</v>
      </c>
      <c r="D8" s="32">
        <v>6745000</v>
      </c>
    </row>
    <row r="9" spans="1:4">
      <c r="A9" s="31" t="s">
        <v>30</v>
      </c>
      <c r="B9" s="34">
        <f>B8/B4</f>
        <v>0.258445965781656</v>
      </c>
      <c r="C9" s="33">
        <f>C8/C4</f>
        <v>0.0574227297592998</v>
      </c>
      <c r="D9" s="33">
        <f>D8/D4</f>
        <v>0.222401740965444</v>
      </c>
    </row>
    <row r="10" spans="1:4">
      <c r="A10" s="31" t="s">
        <v>31</v>
      </c>
      <c r="B10" s="35">
        <v>36597000</v>
      </c>
      <c r="C10" s="32">
        <v>30183000</v>
      </c>
      <c r="D10" s="32">
        <v>14418000</v>
      </c>
    </row>
    <row r="11" spans="1:4">
      <c r="A11" s="31" t="s">
        <v>32</v>
      </c>
      <c r="B11" s="35">
        <v>7486000</v>
      </c>
      <c r="C11" s="32">
        <v>4733000</v>
      </c>
      <c r="D11" s="32"/>
    </row>
    <row r="12" spans="1:4">
      <c r="A12" s="31" t="s">
        <v>33</v>
      </c>
      <c r="B12" s="36">
        <v>35153000</v>
      </c>
      <c r="C12" s="32">
        <v>2119000</v>
      </c>
      <c r="D12" s="32">
        <v>4928000</v>
      </c>
    </row>
    <row r="13" spans="1:4">
      <c r="A13" s="31" t="s">
        <v>114</v>
      </c>
      <c r="B13" s="37">
        <f>B12/B4</f>
        <v>0.41279254101152</v>
      </c>
      <c r="C13" s="37">
        <f>C12/C4</f>
        <v>0.0362246991247265</v>
      </c>
      <c r="D13" s="37">
        <f>D12/D4</f>
        <v>0.162490108150884</v>
      </c>
    </row>
    <row r="14" ht="14.5" spans="1:4">
      <c r="A14" s="38" t="s">
        <v>35</v>
      </c>
      <c r="B14" s="39">
        <v>13.72</v>
      </c>
      <c r="C14" s="40">
        <v>1.83</v>
      </c>
      <c r="D14" s="40">
        <v>1.22</v>
      </c>
    </row>
    <row r="15" spans="1:4">
      <c r="A15" s="38" t="s">
        <v>36</v>
      </c>
      <c r="B15" s="40">
        <f>B12/B20</f>
        <v>0.511137930031698</v>
      </c>
      <c r="C15" s="40">
        <f>C12/C20</f>
        <v>0.0238052441189026</v>
      </c>
      <c r="D15" s="40">
        <f>D12/D20</f>
        <v>0.464993394980185</v>
      </c>
    </row>
    <row r="16" spans="1:4">
      <c r="A16" s="38" t="s">
        <v>37</v>
      </c>
      <c r="B16" s="40">
        <f>B12/B21</f>
        <v>0.209796010933527</v>
      </c>
      <c r="C16" s="40">
        <f>C12/C21</f>
        <v>0.00935536708447203</v>
      </c>
      <c r="D16" s="40">
        <f>D12/D21</f>
        <v>0.0819339606956406</v>
      </c>
    </row>
    <row r="17" spans="1:4">
      <c r="A17" s="38" t="s">
        <v>115</v>
      </c>
      <c r="B17" s="40">
        <f>B22/B20</f>
        <v>1.4363567627301</v>
      </c>
      <c r="C17" s="40">
        <f>C22/C20</f>
        <v>1.54147662165502</v>
      </c>
      <c r="D17" s="40">
        <f>D22/D20</f>
        <v>4.7225891677675</v>
      </c>
    </row>
    <row r="18" spans="1:4">
      <c r="A18" s="38" t="s">
        <v>38</v>
      </c>
      <c r="B18" s="40">
        <f>B29/B30</f>
        <v>1.15584892614839</v>
      </c>
      <c r="C18" s="40">
        <f>C29/C30</f>
        <v>0.90666192409089</v>
      </c>
      <c r="D18" s="40">
        <f>D29/D30</f>
        <v>0.91052170100833</v>
      </c>
    </row>
    <row r="19" spans="1:4">
      <c r="A19" s="38" t="s">
        <v>39</v>
      </c>
      <c r="B19" s="40">
        <f>(B29-B33)/B30</f>
        <v>0.914264724947064</v>
      </c>
      <c r="C19" s="40">
        <f>(C29-C33)/C30</f>
        <v>0.693476168556723</v>
      </c>
      <c r="D19" s="40">
        <f>(D29-D33)/D30</f>
        <v>0.684918895221394</v>
      </c>
    </row>
    <row r="20" spans="1:4">
      <c r="A20" s="38" t="s">
        <v>40</v>
      </c>
      <c r="B20" s="32">
        <v>68774000</v>
      </c>
      <c r="C20" s="32">
        <v>89014000</v>
      </c>
      <c r="D20" s="32">
        <v>10598000</v>
      </c>
    </row>
    <row r="21" spans="1:4">
      <c r="A21" s="38" t="s">
        <v>41</v>
      </c>
      <c r="B21" s="32">
        <v>167558000</v>
      </c>
      <c r="C21" s="32">
        <v>226501000</v>
      </c>
      <c r="D21" s="32">
        <v>60146000</v>
      </c>
    </row>
    <row r="22" spans="1:4">
      <c r="A22" s="38" t="s">
        <v>42</v>
      </c>
      <c r="B22" s="32">
        <v>98784000</v>
      </c>
      <c r="C22" s="32">
        <v>137213000</v>
      </c>
      <c r="D22" s="32">
        <v>50050000</v>
      </c>
    </row>
    <row r="23" spans="1:4">
      <c r="A23" s="38" t="s">
        <v>116</v>
      </c>
      <c r="B23" s="32">
        <v>19387000</v>
      </c>
      <c r="C23" s="32">
        <v>11177000</v>
      </c>
      <c r="D23" s="32">
        <v>0</v>
      </c>
    </row>
    <row r="24" spans="1:4">
      <c r="A24" s="38" t="s">
        <v>117</v>
      </c>
      <c r="B24" s="32">
        <v>12625000</v>
      </c>
      <c r="C24" s="32">
        <v>11431000</v>
      </c>
      <c r="D24" s="32">
        <v>0</v>
      </c>
    </row>
    <row r="25" spans="1:4">
      <c r="A25" s="38" t="s">
        <v>45</v>
      </c>
      <c r="B25" s="32">
        <v>29332000</v>
      </c>
      <c r="C25" s="32">
        <v>70845000</v>
      </c>
      <c r="D25" s="32">
        <v>155392</v>
      </c>
    </row>
    <row r="26" spans="1:4">
      <c r="A26" s="38" t="s">
        <v>46</v>
      </c>
      <c r="B26" s="32">
        <v>22009000</v>
      </c>
      <c r="C26" s="32">
        <v>3267000</v>
      </c>
      <c r="D26" s="41">
        <v>8382122</v>
      </c>
    </row>
    <row r="27" spans="1:4">
      <c r="A27" s="38" t="s">
        <v>47</v>
      </c>
      <c r="B27" s="32">
        <f>B26+B11</f>
        <v>29495000</v>
      </c>
      <c r="C27" s="40">
        <v>9557000</v>
      </c>
      <c r="D27" s="41">
        <v>9039794</v>
      </c>
    </row>
    <row r="28" spans="1:4">
      <c r="A28" s="38" t="s">
        <v>118</v>
      </c>
      <c r="B28" s="33">
        <f>B26/B4</f>
        <v>0.258445965781656</v>
      </c>
      <c r="C28" s="33">
        <f>C26/C4</f>
        <v>0.0558499726477024</v>
      </c>
      <c r="D28" s="33">
        <f>D26/D4</f>
        <v>0.276382286995516</v>
      </c>
    </row>
    <row r="29" spans="1:4">
      <c r="A29" s="38" t="s">
        <v>48</v>
      </c>
      <c r="B29" s="32">
        <v>53495000</v>
      </c>
      <c r="C29" s="32">
        <v>43333000</v>
      </c>
      <c r="D29" s="32">
        <v>20769000</v>
      </c>
    </row>
    <row r="30" spans="1:4">
      <c r="A30" s="38" t="s">
        <v>49</v>
      </c>
      <c r="B30" s="36">
        <v>46282000</v>
      </c>
      <c r="C30" s="32">
        <v>47794000</v>
      </c>
      <c r="D30" s="32">
        <v>22810000</v>
      </c>
    </row>
    <row r="31" spans="1:4">
      <c r="A31" s="38" t="s">
        <v>50</v>
      </c>
      <c r="B31" s="32">
        <v>22927000</v>
      </c>
      <c r="C31" s="32">
        <v>12690000</v>
      </c>
      <c r="D31" s="32">
        <v>7677000</v>
      </c>
    </row>
    <row r="32" spans="1:4">
      <c r="A32" s="38" t="s">
        <v>51</v>
      </c>
      <c r="B32" s="36">
        <f>B34-B35</f>
        <v>290540</v>
      </c>
      <c r="C32" s="36">
        <f>C34-C35</f>
        <v>5650000</v>
      </c>
      <c r="D32" s="36">
        <f>D34-D35</f>
        <v>4103500</v>
      </c>
    </row>
    <row r="33" spans="1:4">
      <c r="A33" s="38" t="s">
        <v>52</v>
      </c>
      <c r="B33" s="32">
        <v>11181000</v>
      </c>
      <c r="C33" s="32">
        <v>10189000</v>
      </c>
      <c r="D33" s="32">
        <v>5146000</v>
      </c>
    </row>
    <row r="34" spans="1:4">
      <c r="A34" s="38" t="s">
        <v>53</v>
      </c>
      <c r="B34" s="32">
        <v>290540</v>
      </c>
      <c r="C34" s="40">
        <v>5650000</v>
      </c>
      <c r="D34" s="41">
        <v>4103500</v>
      </c>
    </row>
    <row r="35" spans="1:4">
      <c r="A35" s="38" t="s">
        <v>54</v>
      </c>
      <c r="B35" s="40">
        <v>0</v>
      </c>
      <c r="C35" s="40">
        <v>0</v>
      </c>
      <c r="D35" s="40">
        <v>0</v>
      </c>
    </row>
    <row r="36" spans="1:4">
      <c r="A36" s="38" t="s">
        <v>55</v>
      </c>
      <c r="B36" s="42">
        <v>772000</v>
      </c>
      <c r="C36" s="42">
        <v>2209000</v>
      </c>
      <c r="D36" s="42">
        <v>725000</v>
      </c>
    </row>
    <row r="37" spans="1:4">
      <c r="A37" s="38" t="s">
        <v>119</v>
      </c>
      <c r="B37" s="42">
        <v>5013000</v>
      </c>
      <c r="C37" s="42">
        <v>3907000</v>
      </c>
      <c r="D37" s="42">
        <v>-2344000</v>
      </c>
    </row>
    <row r="38" spans="1:4">
      <c r="A38" s="38" t="s">
        <v>120</v>
      </c>
      <c r="B38" s="43">
        <v>24524000</v>
      </c>
      <c r="C38" s="42">
        <v>2572000</v>
      </c>
      <c r="D38" s="43"/>
    </row>
    <row r="39" spans="1:4">
      <c r="A39" s="38" t="s">
        <v>121</v>
      </c>
      <c r="B39" s="42">
        <v>5013000</v>
      </c>
      <c r="C39" s="42">
        <v>3907000</v>
      </c>
      <c r="D39" s="42">
        <v>2344000</v>
      </c>
    </row>
    <row r="40" spans="1:4">
      <c r="A40" s="38" t="s">
        <v>60</v>
      </c>
      <c r="B40" s="42">
        <v>11770000</v>
      </c>
      <c r="C40" s="42">
        <v>9247000</v>
      </c>
      <c r="D40" s="42"/>
    </row>
    <row r="41" spans="1:4">
      <c r="A41" s="44" t="s">
        <v>62</v>
      </c>
      <c r="B41" s="45">
        <f>B42+'Data Grp 2'!B25-'Data Grp 2'!B31</f>
        <v>51601402.4</v>
      </c>
      <c r="C41" s="45">
        <f>C42+'Data Grp 2'!C25-'Data Grp 2'!C31</f>
        <v>942719000</v>
      </c>
      <c r="D41" s="45">
        <f>D42+'Data Grp 2'!D25-'Data Grp 2'!D31</f>
        <v>639025852</v>
      </c>
    </row>
    <row r="42" spans="1:4">
      <c r="A42" s="46" t="s">
        <v>63</v>
      </c>
      <c r="B42" s="45">
        <f>'Peer Analysis (Grp 2)'!B42*'Data Grp 2'!B32</f>
        <v>45196402.4</v>
      </c>
      <c r="C42" s="45">
        <f>'Peer Analysis (Grp 2)'!C42*'Data Grp 2'!C32</f>
        <v>884564000</v>
      </c>
      <c r="D42" s="45">
        <f>'Peer Analysis (Grp 2)'!D42*'Data Grp 2'!D32</f>
        <v>646547460</v>
      </c>
    </row>
    <row r="43" spans="1:4">
      <c r="A43" s="46" t="s">
        <v>64</v>
      </c>
      <c r="B43" s="47">
        <v>-11790000</v>
      </c>
      <c r="C43" s="47">
        <v>35924000</v>
      </c>
      <c r="D43" s="47">
        <v>-3840000</v>
      </c>
    </row>
    <row r="44" spans="1:4">
      <c r="A44" s="38"/>
      <c r="B44" s="43"/>
      <c r="C44" s="43"/>
      <c r="D44" s="43"/>
    </row>
  </sheetData>
  <mergeCells count="3">
    <mergeCell ref="B1:B2"/>
    <mergeCell ref="C1:C2"/>
    <mergeCell ref="D1:D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"/>
  <sheetViews>
    <sheetView topLeftCell="A37" workbookViewId="0">
      <selection activeCell="A47" sqref="A47"/>
    </sheetView>
  </sheetViews>
  <sheetFormatPr defaultColWidth="9" defaultRowHeight="14.25" outlineLevelCol="5"/>
  <cols>
    <col min="1" max="1" width="36.9545454545455" customWidth="1"/>
    <col min="2" max="2" width="17.1818181818182" customWidth="1"/>
    <col min="3" max="3" width="13.5" customWidth="1"/>
    <col min="4" max="4" width="19.3636363636364" customWidth="1"/>
  </cols>
  <sheetData>
    <row r="1" spans="1:4">
      <c r="A1" s="1" t="s">
        <v>25</v>
      </c>
      <c r="B1" s="2" t="s">
        <v>3</v>
      </c>
      <c r="C1" s="3" t="s">
        <v>19</v>
      </c>
      <c r="D1" s="3" t="s">
        <v>111</v>
      </c>
    </row>
    <row r="2" spans="1:4">
      <c r="A2" s="1"/>
      <c r="B2" s="4"/>
      <c r="C2" s="5"/>
      <c r="D2" s="5"/>
    </row>
    <row r="3" spans="1:4">
      <c r="A3" s="6" t="s">
        <v>65</v>
      </c>
      <c r="B3" s="7"/>
      <c r="C3" s="7"/>
      <c r="D3" s="7"/>
    </row>
    <row r="4" spans="1:4">
      <c r="A4" s="8" t="s">
        <v>66</v>
      </c>
      <c r="B4" s="9">
        <f>'Data Grp 2'!B29/'Data Grp 2'!B30</f>
        <v>1.15584892614839</v>
      </c>
      <c r="C4" s="9">
        <f>'Data Grp 2'!C29/'Data Grp 2'!C30</f>
        <v>0.90666192409089</v>
      </c>
      <c r="D4" s="9">
        <f>'Data Grp 2'!D29/'Data Grp 2'!D30</f>
        <v>0.91052170100833</v>
      </c>
    </row>
    <row r="5" spans="1:4">
      <c r="A5" s="8" t="s">
        <v>67</v>
      </c>
      <c r="B5" s="9">
        <f>('Data Grp 2'!B29-'Data Grp 2'!B33)/'Data Grp 2'!B30</f>
        <v>0.914264724947064</v>
      </c>
      <c r="C5" s="9">
        <f>('Data Grp 2'!C29-'Data Grp 2'!C33)/'Data Grp 2'!C30</f>
        <v>0.693476168556723</v>
      </c>
      <c r="D5" s="9">
        <f>('Data Grp 2'!D29-'Data Grp 2'!D33)/'Data Grp 2'!D30</f>
        <v>0.684918895221394</v>
      </c>
    </row>
    <row r="6" spans="1:4">
      <c r="A6" s="8" t="s">
        <v>68</v>
      </c>
      <c r="B6" s="10">
        <f>'Data Grp 2'!B31/'Data Grp 2'!B30</f>
        <v>0.495376172161964</v>
      </c>
      <c r="C6" s="10">
        <f>'Data Grp 2'!C31/'Data Grp 2'!C30</f>
        <v>0.265514499727999</v>
      </c>
      <c r="D6" s="10">
        <f>'Data Grp 2'!D31/'Data Grp 2'!D30</f>
        <v>0.336562911003946</v>
      </c>
    </row>
    <row r="7" spans="1:4">
      <c r="A7" s="8" t="s">
        <v>69</v>
      </c>
      <c r="B7" s="9">
        <f>('Data Grp 2'!B31+'Data Grp 2'!B23)/(('Data Grp 2'!B10-'Data Grp 2'!B11)/365)</f>
        <v>530.542063137646</v>
      </c>
      <c r="C7" s="9">
        <f>('Data Grp 2'!C31+'Data Grp 2'!C23)/(('Data Grp 2'!C10-'Data Grp 2'!C11)/365)</f>
        <v>342.296856581532</v>
      </c>
      <c r="D7" s="9">
        <f>('Data Grp 2'!D31+'Data Grp 2'!D23)/(('Data Grp 2'!D10-'Data Grp 2'!D11)/365)</f>
        <v>194.347690387016</v>
      </c>
    </row>
    <row r="8" spans="1:4">
      <c r="A8" s="8" t="s">
        <v>70</v>
      </c>
      <c r="B8" s="9">
        <f>'Data Grp 2'!B33/('Data Grp 2'!B5/365)</f>
        <v>153.695062704779</v>
      </c>
      <c r="C8" s="9">
        <f>'Data Grp 2'!C33/('Data Grp 2'!C5/365)</f>
        <v>149.03362186423</v>
      </c>
      <c r="D8" s="9">
        <f>'Data Grp 2'!D33/('Data Grp 2'!D5/365)</f>
        <v>138.239361518131</v>
      </c>
    </row>
    <row r="9" spans="1:4">
      <c r="A9" s="8"/>
      <c r="B9" s="7"/>
      <c r="C9" s="7"/>
      <c r="D9" s="7"/>
    </row>
    <row r="10" spans="1:4">
      <c r="A10" s="8" t="s">
        <v>71</v>
      </c>
      <c r="B10" s="9">
        <f>'Data Grp 2'!B24/('Data Grp 2'!B5/365)</f>
        <v>173.544420592777</v>
      </c>
      <c r="C10" s="9">
        <f>'Data Grp 2'!C24/('Data Grp 2'!C5/365)</f>
        <v>167.200248457161</v>
      </c>
      <c r="D10" s="9">
        <f>'Data Grp 2'!D24/('Data Grp 2'!D5/365)</f>
        <v>0</v>
      </c>
    </row>
    <row r="11" spans="1:4">
      <c r="A11" s="8" t="s">
        <v>72</v>
      </c>
      <c r="B11" s="9">
        <f>'Data Grp 2'!B23/('Data Grp 2'!B4/365)</f>
        <v>83.0946229993307</v>
      </c>
      <c r="C11" s="9">
        <f>'Data Grp 2'!C23/('Data Grp 2'!C4/365)</f>
        <v>69.7416062636761</v>
      </c>
      <c r="D11" s="9">
        <f>'Data Grp 2'!D23/('Data Grp 2'!D4/365)</f>
        <v>0</v>
      </c>
    </row>
    <row r="12" spans="1:4">
      <c r="A12" s="8" t="s">
        <v>73</v>
      </c>
      <c r="B12" s="9">
        <f>B11+B8-B10</f>
        <v>63.2452651113331</v>
      </c>
      <c r="C12" s="9">
        <f>C11+C8-C10</f>
        <v>51.5749796707451</v>
      </c>
      <c r="D12" s="9">
        <f>D11+D8-D10</f>
        <v>138.239361518131</v>
      </c>
    </row>
    <row r="13" spans="1:4">
      <c r="A13" s="8" t="s">
        <v>74</v>
      </c>
      <c r="B13" s="11">
        <f>('Data Grp 2'!B29-'Data Grp 2'!B30)/'Data Grp 2'!B4</f>
        <v>0.0847003839875997</v>
      </c>
      <c r="C13" s="11">
        <f>('Data Grp 2'!C29-'Data Grp 2'!C30)/'Data Grp 2'!C4</f>
        <v>-0.076261624726477</v>
      </c>
      <c r="D13" s="11">
        <f>('Data Grp 2'!D29-'Data Grp 2'!D30)/'Data Grp 2'!D4</f>
        <v>-0.0672975468214192</v>
      </c>
    </row>
    <row r="14" spans="1:4">
      <c r="A14" s="12" t="s">
        <v>75</v>
      </c>
      <c r="B14" s="9">
        <f>'Data Grp 2'!B29-'Data Grp 2'!B30</f>
        <v>7213000</v>
      </c>
      <c r="C14" s="9">
        <f>'Data Grp 2'!C29-'Data Grp 2'!C30</f>
        <v>-4461000</v>
      </c>
      <c r="D14" s="9">
        <f>'Data Grp 2'!D29-'Data Grp 2'!D30</f>
        <v>-2041000</v>
      </c>
    </row>
    <row r="15" spans="1:4">
      <c r="A15" s="6" t="s">
        <v>76</v>
      </c>
      <c r="B15" s="13">
        <v>2507000</v>
      </c>
      <c r="C15" s="13">
        <v>-2172000</v>
      </c>
      <c r="D15" s="13">
        <v>-364000</v>
      </c>
    </row>
    <row r="16" spans="1:4">
      <c r="A16" s="6"/>
      <c r="B16" s="7"/>
      <c r="C16" s="7"/>
      <c r="D16" s="7"/>
    </row>
    <row r="17" spans="1:4">
      <c r="A17" s="14" t="s">
        <v>77</v>
      </c>
      <c r="B17" s="7"/>
      <c r="C17" s="7"/>
      <c r="D17" s="7"/>
    </row>
    <row r="18" spans="1:4">
      <c r="A18" s="8" t="s">
        <v>78</v>
      </c>
      <c r="B18" s="11">
        <f>'Data Grp 2'!B6/'Data Grp 2'!B4</f>
        <v>0.688195023426766</v>
      </c>
      <c r="C18" s="11">
        <f>'Data Grp 2'!C6/'Data Grp 2'!C4</f>
        <v>0.573406728665208</v>
      </c>
      <c r="D18" s="11">
        <f>'Data Grp 2'!D6/'Data Grp 2'!D4</f>
        <v>0.717587707728831</v>
      </c>
    </row>
    <row r="19" spans="1:4">
      <c r="A19" s="8" t="s">
        <v>79</v>
      </c>
      <c r="B19" s="11">
        <f>'Data Grp 2'!B27/'Data Grp 2'!B4</f>
        <v>0.346352117803168</v>
      </c>
      <c r="C19" s="11">
        <f>'Data Grp 2'!C27/'Data Grp 2'!C4</f>
        <v>0.163378692560175</v>
      </c>
      <c r="D19" s="11">
        <f>'Data Grp 2'!D27/'Data Grp 2'!D4</f>
        <v>0.298067594302295</v>
      </c>
    </row>
    <row r="20" spans="1:4">
      <c r="A20" s="12" t="s">
        <v>80</v>
      </c>
      <c r="B20" s="11"/>
      <c r="C20" s="11"/>
      <c r="D20" s="11"/>
    </row>
    <row r="21" spans="1:4">
      <c r="A21" s="8" t="s">
        <v>81</v>
      </c>
      <c r="B21" s="11">
        <f>'Data Grp 2'!B26/'Data Grp 2'!B4</f>
        <v>0.258445965781656</v>
      </c>
      <c r="C21" s="11">
        <f>'Data Grp 2'!C26/'Data Grp 2'!C4</f>
        <v>0.0558499726477024</v>
      </c>
      <c r="D21" s="11">
        <f>'Data Grp 2'!D26/'Data Grp 2'!D4</f>
        <v>0.276382286995516</v>
      </c>
    </row>
    <row r="22" spans="1:6">
      <c r="A22" s="12" t="s">
        <v>82</v>
      </c>
      <c r="B22" s="11"/>
      <c r="C22" s="11"/>
      <c r="D22" s="11"/>
      <c r="F22" s="15"/>
    </row>
    <row r="23" spans="1:4">
      <c r="A23" s="8" t="s">
        <v>83</v>
      </c>
      <c r="B23" s="11">
        <f>'Data Grp 2'!B12/'Data Grp 2'!B4</f>
        <v>0.41279254101152</v>
      </c>
      <c r="C23" s="11">
        <f>'Data Grp 2'!C12/'Data Grp 2'!C4</f>
        <v>0.0362246991247265</v>
      </c>
      <c r="D23" s="11">
        <f>'Data Grp 2'!D12/'Data Grp 2'!D4</f>
        <v>0.162490108150884</v>
      </c>
    </row>
    <row r="24" spans="1:4">
      <c r="A24" s="16"/>
      <c r="B24" s="7"/>
      <c r="C24" s="7"/>
      <c r="D24" s="7"/>
    </row>
    <row r="25" spans="1:4">
      <c r="A25" s="6" t="s">
        <v>84</v>
      </c>
      <c r="B25" s="7"/>
      <c r="C25" s="7"/>
      <c r="D25" s="7"/>
    </row>
    <row r="26" spans="1:4">
      <c r="A26" s="8" t="s">
        <v>85</v>
      </c>
      <c r="B26" s="9">
        <f>'Data Grp 2'!B22/'Data Grp 2'!B20</f>
        <v>1.4363567627301</v>
      </c>
      <c r="C26" s="9">
        <f>'Data Grp 2'!C22/'Data Grp 2'!C20</f>
        <v>1.54147662165502</v>
      </c>
      <c r="D26" s="9">
        <f>'Data Grp 2'!D22/'Data Grp 2'!D20</f>
        <v>4.7225891677675</v>
      </c>
    </row>
    <row r="27" spans="1:4">
      <c r="A27" s="8" t="s">
        <v>86</v>
      </c>
      <c r="B27" s="9">
        <f>'Data Grp 2'!B22/'Data Grp 2'!B21</f>
        <v>0.589551080819776</v>
      </c>
      <c r="C27" s="9">
        <f>'Data Grp 2'!C22/'Data Grp 2'!C21</f>
        <v>0.60579423490404</v>
      </c>
      <c r="D27" s="9">
        <f>'Data Grp 2'!D22/'Data Grp 2'!D21</f>
        <v>0.8321417883151</v>
      </c>
    </row>
    <row r="28" spans="1:5">
      <c r="A28" s="8" t="s">
        <v>87</v>
      </c>
      <c r="B28" s="9">
        <f>('Data Grp 2'!B22-'Data Grp 2'!B30)/'Data Grp 2'!B20</f>
        <v>0.76339895890889</v>
      </c>
      <c r="C28" s="9">
        <f>('Data Grp 2'!C22-'Data Grp 2'!C30)/'Data Grp 2'!C20</f>
        <v>1.00454984609163</v>
      </c>
      <c r="D28" s="9">
        <f>('Data Grp 2'!D22-'Data Grp 2'!D30)/'Data Grp 2'!D20</f>
        <v>2.57029628231742</v>
      </c>
      <c r="E28" s="17"/>
    </row>
    <row r="29" spans="1:4">
      <c r="A29" s="8" t="s">
        <v>88</v>
      </c>
      <c r="B29" s="9">
        <f>'Data Grp 2'!B26/'Data Grp 2'!B36</f>
        <v>28.509067357513</v>
      </c>
      <c r="C29" s="9">
        <f>'Data Grp 2'!C26/'Data Grp 2'!C36</f>
        <v>1.47894975101856</v>
      </c>
      <c r="D29" s="9">
        <f>'Data Grp 2'!D26/'Data Grp 2'!D36</f>
        <v>11.5615475862069</v>
      </c>
    </row>
    <row r="30" spans="1:4">
      <c r="A30" s="8" t="s">
        <v>89</v>
      </c>
      <c r="B30" s="9">
        <f>'Data Grp 2'!B8/'Data Grp 2'!B38</f>
        <v>0.897447398466808</v>
      </c>
      <c r="C30" s="9">
        <f>'Data Grp 2'!C8/'Data Grp 2'!C38</f>
        <v>1.30598755832037</v>
      </c>
      <c r="D30" s="9"/>
    </row>
    <row r="31" spans="1:4">
      <c r="A31" s="8" t="s">
        <v>90</v>
      </c>
      <c r="B31" s="18">
        <f>B32/B45</f>
        <v>80.295312177325</v>
      </c>
      <c r="C31" s="18">
        <f>C32/C45</f>
        <v>7.26389380530973</v>
      </c>
      <c r="D31" s="18">
        <f>D32/D45</f>
        <v>0.925063969781894</v>
      </c>
    </row>
    <row r="32" spans="1:4">
      <c r="A32" s="12" t="s">
        <v>91</v>
      </c>
      <c r="B32" s="9">
        <f>'Data Grp 2'!B12-('Data Grp 2'!B37-'Data Grp 2'!B11)-B15+'Data Grp 2'!B43</f>
        <v>23329000</v>
      </c>
      <c r="C32" s="9">
        <f>'Data Grp 2'!C12-('Data Grp 2'!C37-'Data Grp 2'!C11)-C15+'Data Grp 2'!C43</f>
        <v>41041000</v>
      </c>
      <c r="D32" s="9">
        <f>'Data Grp 2'!D12-('Data Grp 2'!D37-'Data Grp 2'!D11)-D15+'Data Grp 2'!D43</f>
        <v>3796000</v>
      </c>
    </row>
    <row r="33" spans="1:4">
      <c r="A33" s="16"/>
      <c r="B33" s="7"/>
      <c r="C33" s="7"/>
      <c r="D33" s="7"/>
    </row>
    <row r="34" spans="1:4">
      <c r="A34" s="14" t="s">
        <v>92</v>
      </c>
      <c r="B34" s="7"/>
      <c r="C34" s="7"/>
      <c r="D34" s="7"/>
    </row>
    <row r="35" spans="1:4">
      <c r="A35" s="8" t="s">
        <v>93</v>
      </c>
      <c r="B35" s="9">
        <f>'Data Grp 2'!B4/'Data Grp 2'!B21</f>
        <v>0.50823595411738</v>
      </c>
      <c r="C35" s="9">
        <f>'Data Grp 2'!C4/'Data Grp 2'!C21</f>
        <v>0.258259345433353</v>
      </c>
      <c r="D35" s="9">
        <f>'Data Grp 2'!D4/'Data Grp 2'!D21</f>
        <v>0.50423968343697</v>
      </c>
    </row>
    <row r="36" spans="1:4">
      <c r="A36" s="8" t="s">
        <v>94</v>
      </c>
      <c r="B36" s="9">
        <f>'Data Grp 2'!B4/('Data Grp 2'!B21-'Data Grp 2'!B29)</f>
        <v>0.746596179304419</v>
      </c>
      <c r="C36" s="9">
        <f>'Data Grp 2'!C4/('Data Grp 2'!C21-'Data Grp 2'!C29)</f>
        <v>0.319357092941999</v>
      </c>
      <c r="D36" s="9">
        <f>'Data Grp 2'!D4/('Data Grp 2'!D21-'Data Grp 2'!D29)</f>
        <v>0.770195799578434</v>
      </c>
    </row>
    <row r="37" spans="1:4">
      <c r="A37" s="8" t="s">
        <v>95</v>
      </c>
      <c r="B37" s="9">
        <f>'Data Grp 2'!B5/'Data Grp 2'!B33</f>
        <v>2.37483230480279</v>
      </c>
      <c r="C37" s="9">
        <f>'Data Grp 2'!C5/'Data Grp 2'!C33</f>
        <v>2.44911178722151</v>
      </c>
      <c r="D37" s="9">
        <f>'Data Grp 2'!D5/'Data Grp 2'!D33</f>
        <v>2.64034784298484</v>
      </c>
    </row>
    <row r="38" spans="1:4">
      <c r="A38" s="8" t="s">
        <v>96</v>
      </c>
      <c r="B38" s="9">
        <f>'Data Grp 2'!B12/'Data Grp 2'!B21</f>
        <v>0.209796010933527</v>
      </c>
      <c r="C38" s="9">
        <f>'Data Grp 2'!C12/'Data Grp 2'!C21</f>
        <v>0.00935536708447203</v>
      </c>
      <c r="D38" s="9">
        <f>'Data Grp 2'!D12/'Data Grp 2'!D21</f>
        <v>0.0819339606956406</v>
      </c>
    </row>
    <row r="39" spans="1:4">
      <c r="A39" s="16"/>
      <c r="B39" s="7"/>
      <c r="C39" s="7"/>
      <c r="D39" s="7"/>
    </row>
    <row r="40" spans="1:4">
      <c r="A40" s="14" t="s">
        <v>97</v>
      </c>
      <c r="B40" s="7"/>
      <c r="C40" s="7"/>
      <c r="D40" s="7"/>
    </row>
    <row r="41" spans="1:4">
      <c r="A41" s="8" t="s">
        <v>98</v>
      </c>
      <c r="B41" s="19">
        <f>B42/B43</f>
        <v>11.3381924198251</v>
      </c>
      <c r="C41" s="19">
        <f>C42/C43</f>
        <v>10.6358695652174</v>
      </c>
      <c r="D41" s="19">
        <f>D42/D43</f>
        <v>10.0229007633588</v>
      </c>
    </row>
    <row r="42" spans="1:4">
      <c r="A42" s="20" t="s">
        <v>99</v>
      </c>
      <c r="B42" s="7">
        <v>155.56</v>
      </c>
      <c r="C42" s="7">
        <v>156.56</v>
      </c>
      <c r="D42" s="7">
        <v>157.56</v>
      </c>
    </row>
    <row r="43" spans="1:4">
      <c r="A43" s="12" t="s">
        <v>100</v>
      </c>
      <c r="B43" s="7">
        <v>13.72</v>
      </c>
      <c r="C43" s="7">
        <v>14.72</v>
      </c>
      <c r="D43" s="7">
        <v>15.72</v>
      </c>
    </row>
    <row r="44" spans="1:4">
      <c r="A44" s="8" t="s">
        <v>101</v>
      </c>
      <c r="B44" s="9">
        <f>B42/B46</f>
        <v>0.657172803675808</v>
      </c>
      <c r="C44" s="9">
        <f>C42/C46</f>
        <v>9.93735816837801</v>
      </c>
      <c r="D44" s="9">
        <f>D42/D46</f>
        <v>61.0065540668051</v>
      </c>
    </row>
    <row r="45" spans="1:4">
      <c r="A45" s="8" t="s">
        <v>102</v>
      </c>
      <c r="B45" s="9">
        <f>'Data Grp 2'!B32</f>
        <v>290540</v>
      </c>
      <c r="C45" s="9">
        <f>'Data Grp 2'!C32</f>
        <v>5650000</v>
      </c>
      <c r="D45" s="9">
        <f>'Data Grp 2'!D32</f>
        <v>4103500</v>
      </c>
    </row>
    <row r="46" spans="1:4">
      <c r="A46" s="12" t="s">
        <v>103</v>
      </c>
      <c r="B46" s="9">
        <f>'Data Grp 2'!B20/'Data Grp 2'!B32</f>
        <v>236.710952020376</v>
      </c>
      <c r="C46" s="9">
        <f>'Data Grp 2'!C20/'Data Grp 2'!C32</f>
        <v>15.7546902654867</v>
      </c>
      <c r="D46" s="9">
        <f>'Data Grp 2'!D20/'Data Grp 2'!D32</f>
        <v>2.58267332764713</v>
      </c>
    </row>
    <row r="47" spans="1:4">
      <c r="A47" s="8" t="s">
        <v>122</v>
      </c>
      <c r="B47" s="21">
        <f>B48/B43</f>
        <v>2.95268025096929</v>
      </c>
      <c r="C47" s="21">
        <f>C48/C43</f>
        <v>0.11118459022701</v>
      </c>
      <c r="D47" s="21">
        <f>D48/D43</f>
        <v>0</v>
      </c>
    </row>
    <row r="48" spans="1:4">
      <c r="A48" s="12" t="s">
        <v>123</v>
      </c>
      <c r="B48" s="22">
        <f>'Data Grp 2'!B40/B45</f>
        <v>40.5107730432987</v>
      </c>
      <c r="C48" s="22">
        <f>'Data Grp 2'!C40/C45</f>
        <v>1.63663716814159</v>
      </c>
      <c r="D48" s="22">
        <f>'Data Grp 2'!D40/D45</f>
        <v>0</v>
      </c>
    </row>
    <row r="49" spans="1:4">
      <c r="A49" s="8" t="s">
        <v>124</v>
      </c>
      <c r="B49" s="21">
        <f>B48/B42</f>
        <v>0.260418957593846</v>
      </c>
      <c r="C49" s="21">
        <f>C48/C42</f>
        <v>0.0104537376605876</v>
      </c>
      <c r="D49" s="21">
        <f>D48/D42</f>
        <v>0</v>
      </c>
    </row>
    <row r="50" spans="1:4">
      <c r="A50" s="8" t="s">
        <v>107</v>
      </c>
      <c r="B50" s="9">
        <f>'Data Grp 2'!B12/'Data Grp 2'!B20</f>
        <v>0.511137930031698</v>
      </c>
      <c r="C50" s="9">
        <f>'Data Grp 2'!C12/'Data Grp 2'!C20</f>
        <v>0.0238052441189026</v>
      </c>
      <c r="D50" s="9">
        <f>'Data Grp 2'!D12/'Data Grp 2'!D20</f>
        <v>0.464993394980185</v>
      </c>
    </row>
    <row r="51" spans="1:4">
      <c r="A51" s="8" t="s">
        <v>108</v>
      </c>
      <c r="B51" s="9">
        <f>'Data Grp 2'!B26/B52</f>
        <v>0.181478610772123</v>
      </c>
      <c r="C51" s="9">
        <f>'Data Grp 2'!C26/C52</f>
        <v>0.0183093934417961</v>
      </c>
      <c r="D51" s="9">
        <f>'Data Grp 2'!D26/D52</f>
        <v>0.221526560600455</v>
      </c>
    </row>
    <row r="52" spans="1:4">
      <c r="A52" s="8" t="s">
        <v>109</v>
      </c>
      <c r="B52" s="9">
        <f>'Data Grp 2'!B20+'Data Grp 2'!B22-'Data Grp 2'!B30</f>
        <v>121276000</v>
      </c>
      <c r="C52" s="9">
        <f>'Data Grp 2'!C20+'Data Grp 2'!C22-'Data Grp 2'!C30</f>
        <v>178433000</v>
      </c>
      <c r="D52" s="9">
        <f>'Data Grp 2'!D20+'Data Grp 2'!D22-'Data Grp 2'!D30</f>
        <v>37838000</v>
      </c>
    </row>
    <row r="53" spans="1:4">
      <c r="A53" s="8" t="s">
        <v>110</v>
      </c>
      <c r="B53" s="9">
        <f>'Data Grp 2'!B41/'Data Grp 2'!B27</f>
        <v>1.74949660620444</v>
      </c>
      <c r="C53" s="9">
        <f>'Data Grp 2'!C41/'Data Grp 2'!C27</f>
        <v>98.6417285759129</v>
      </c>
      <c r="D53" s="9">
        <f>'Data Grp 2'!D41/'Data Grp 2'!D27</f>
        <v>70.6903113057665</v>
      </c>
    </row>
    <row r="54" spans="1:1">
      <c r="A54" s="23"/>
    </row>
    <row r="55" spans="1:1">
      <c r="A55" s="23"/>
    </row>
    <row r="56" spans="1:1">
      <c r="A56" s="23"/>
    </row>
    <row r="60" spans="2:2">
      <c r="B60" s="15"/>
    </row>
  </sheetData>
  <mergeCells count="3">
    <mergeCell ref="B1:B2"/>
    <mergeCell ref="C1:C2"/>
    <mergeCell ref="D1:D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Instructions</vt:lpstr>
      <vt:lpstr>Sheet1</vt:lpstr>
      <vt:lpstr>Data (Grp 1)</vt:lpstr>
      <vt:lpstr>Peer Analysis (Grp 1)</vt:lpstr>
      <vt:lpstr>Data Grp 2</vt:lpstr>
      <vt:lpstr>Peer Analysis (Grp 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WPS_1666186833</cp:lastModifiedBy>
  <dcterms:created xsi:type="dcterms:W3CDTF">2020-05-19T17:08:00Z</dcterms:created>
  <dcterms:modified xsi:type="dcterms:W3CDTF">2024-03-06T18:34:38Z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4FD0864BB6164550AB46FAB4F549E6B5_13</vt:lpwstr>
  </property>
  <property fmtid="{D5CDD505-2E9C-101B-9397-08002B2CF9AE}" pid="3" name="KSOProductBuildVer">
    <vt:lpwstr>1033-12.2.0.13489</vt:lpwstr>
  </property>
</Properties>
</file>