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nt\Desktop\Internship\"/>
    </mc:Choice>
  </mc:AlternateContent>
  <xr:revisionPtr revIDLastSave="0" documentId="13_ncr:1_{59304B83-E90C-4292-92B1-F8FDD88D111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3" l="1"/>
  <c r="D58" i="3"/>
  <c r="E51" i="3"/>
  <c r="D51" i="3"/>
  <c r="E47" i="3"/>
  <c r="D47" i="3"/>
  <c r="E45" i="3"/>
  <c r="D45" i="3"/>
  <c r="E36" i="3"/>
  <c r="D36" i="3"/>
  <c r="E35" i="3"/>
  <c r="D35" i="3"/>
  <c r="C35" i="3"/>
  <c r="E34" i="3"/>
  <c r="D34" i="3"/>
  <c r="C34" i="3"/>
  <c r="E33" i="3"/>
  <c r="E31" i="3" s="1"/>
  <c r="E30" i="3" s="1"/>
  <c r="D33" i="3"/>
  <c r="D31" i="3" s="1"/>
  <c r="D30" i="3" s="1"/>
  <c r="C33" i="3"/>
  <c r="J39" i="3"/>
  <c r="E39" i="3" s="1"/>
  <c r="I39" i="3"/>
  <c r="D39" i="3" s="1"/>
  <c r="H39" i="3"/>
  <c r="C39" i="3" s="1"/>
  <c r="J40" i="3"/>
  <c r="E40" i="3" s="1"/>
  <c r="I40" i="3"/>
  <c r="D40" i="3" s="1"/>
  <c r="H40" i="3"/>
  <c r="C40" i="3" s="1"/>
  <c r="J11" i="3"/>
  <c r="E11" i="3" s="1"/>
  <c r="I11" i="3"/>
  <c r="D11" i="3" s="1"/>
  <c r="H11" i="3"/>
  <c r="C11" i="3" s="1"/>
  <c r="J10" i="3"/>
  <c r="E10" i="3" s="1"/>
  <c r="I10" i="3"/>
  <c r="D10" i="3" s="1"/>
  <c r="H10" i="3"/>
  <c r="C10" i="3" s="1"/>
  <c r="J9" i="3"/>
  <c r="J41" i="3" s="1"/>
  <c r="E41" i="3" s="1"/>
  <c r="I9" i="3"/>
  <c r="I41" i="3" s="1"/>
  <c r="D41" i="3" s="1"/>
  <c r="H9" i="3"/>
  <c r="C9" i="3" s="1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8" i="1"/>
  <c r="E69" i="1" s="1"/>
  <c r="E61" i="1"/>
  <c r="E62" i="1" s="1"/>
  <c r="E56" i="1"/>
  <c r="E48" i="1"/>
  <c r="E47" i="1"/>
  <c r="E42" i="1"/>
  <c r="E22" i="1"/>
  <c r="E20" i="1"/>
  <c r="E18" i="1"/>
  <c r="E17" i="1"/>
  <c r="E13" i="1"/>
  <c r="E12" i="1"/>
  <c r="E8" i="1"/>
  <c r="C48" i="3"/>
  <c r="C47" i="3" s="1"/>
  <c r="E48" i="3"/>
  <c r="D48" i="3"/>
  <c r="C58" i="3"/>
  <c r="E61" i="3"/>
  <c r="D61" i="3"/>
  <c r="C61" i="3"/>
  <c r="E60" i="3"/>
  <c r="D60" i="3"/>
  <c r="C60" i="3"/>
  <c r="D77" i="3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B77" i="3"/>
  <c r="B76" i="3"/>
  <c r="B75" i="3"/>
  <c r="B74" i="3"/>
  <c r="A65" i="3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B73" i="3"/>
  <c r="B72" i="3"/>
  <c r="B71" i="3"/>
  <c r="B70" i="3"/>
  <c r="E54" i="3"/>
  <c r="D54" i="3"/>
  <c r="C54" i="3"/>
  <c r="E52" i="3"/>
  <c r="D52" i="3"/>
  <c r="C52" i="3"/>
  <c r="C51" i="3"/>
  <c r="E46" i="3"/>
  <c r="E49" i="3" s="1"/>
  <c r="D46" i="3"/>
  <c r="D49" i="3" s="1"/>
  <c r="C46" i="3"/>
  <c r="C49" i="3" s="1"/>
  <c r="E90" i="3"/>
  <c r="D90" i="3"/>
  <c r="E89" i="3"/>
  <c r="D89" i="3"/>
  <c r="E88" i="3"/>
  <c r="D88" i="3"/>
  <c r="C88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A80" i="3"/>
  <c r="A81" i="3" s="1"/>
  <c r="A82" i="3" s="1"/>
  <c r="A83" i="3" s="1"/>
  <c r="A84" i="3" s="1"/>
  <c r="D69" i="3"/>
  <c r="C69" i="3"/>
  <c r="D68" i="3"/>
  <c r="C68" i="3"/>
  <c r="B69" i="3"/>
  <c r="B83" i="3" s="1"/>
  <c r="B68" i="3"/>
  <c r="B82" i="3" s="1"/>
  <c r="D67" i="3"/>
  <c r="C67" i="3"/>
  <c r="D66" i="3"/>
  <c r="C66" i="3"/>
  <c r="D65" i="3"/>
  <c r="C65" i="3"/>
  <c r="D64" i="3"/>
  <c r="C64" i="3"/>
  <c r="B66" i="3"/>
  <c r="B65" i="3"/>
  <c r="B64" i="3"/>
  <c r="E42" i="3"/>
  <c r="D42" i="3"/>
  <c r="C42" i="3"/>
  <c r="E8" i="3"/>
  <c r="D8" i="3"/>
  <c r="C8" i="3"/>
  <c r="E28" i="3"/>
  <c r="D28" i="3"/>
  <c r="C28" i="3"/>
  <c r="J25" i="3"/>
  <c r="J27" i="3" s="1"/>
  <c r="E27" i="3" s="1"/>
  <c r="I25" i="3"/>
  <c r="D25" i="3" s="1"/>
  <c r="H25" i="3"/>
  <c r="C26" i="3" s="1"/>
  <c r="E22" i="3"/>
  <c r="D22" i="3"/>
  <c r="C22" i="3"/>
  <c r="E21" i="3"/>
  <c r="E20" i="3" s="1"/>
  <c r="D21" i="3"/>
  <c r="D20" i="3" s="1"/>
  <c r="C21" i="3"/>
  <c r="C20" i="3" s="1"/>
  <c r="E19" i="3"/>
  <c r="E18" i="3" s="1"/>
  <c r="D19" i="3"/>
  <c r="D18" i="3" s="1"/>
  <c r="C19" i="3"/>
  <c r="C18" i="3" s="1"/>
  <c r="E17" i="3"/>
  <c r="D17" i="3"/>
  <c r="C17" i="3"/>
  <c r="E14" i="3"/>
  <c r="E13" i="3" s="1"/>
  <c r="D14" i="3"/>
  <c r="D13" i="3" s="1"/>
  <c r="C14" i="3"/>
  <c r="C13" i="3" s="1"/>
  <c r="E7" i="3"/>
  <c r="D7" i="3"/>
  <c r="C7" i="3"/>
  <c r="C6" i="3"/>
  <c r="E6" i="3"/>
  <c r="D6" i="3"/>
  <c r="E5" i="3"/>
  <c r="D5" i="3"/>
  <c r="C5" i="3"/>
  <c r="D108" i="1"/>
  <c r="C108" i="1"/>
  <c r="B108" i="1"/>
  <c r="D99" i="1"/>
  <c r="C99" i="1"/>
  <c r="E9" i="3" l="1"/>
  <c r="E59" i="3"/>
  <c r="D9" i="3"/>
  <c r="D12" i="3" s="1"/>
  <c r="H41" i="3"/>
  <c r="C41" i="3" s="1"/>
  <c r="C29" i="3"/>
  <c r="C59" i="3"/>
  <c r="C56" i="3" s="1"/>
  <c r="C55" i="3" s="1"/>
  <c r="D29" i="3"/>
  <c r="D59" i="3"/>
  <c r="D56" i="3" s="1"/>
  <c r="D55" i="3" s="1"/>
  <c r="E29" i="3"/>
  <c r="E56" i="3"/>
  <c r="E55" i="3" s="1"/>
  <c r="E53" i="3"/>
  <c r="E12" i="3"/>
  <c r="D26" i="3"/>
  <c r="E26" i="3"/>
  <c r="C45" i="3"/>
  <c r="C53" i="3"/>
  <c r="D53" i="3"/>
  <c r="A85" i="3"/>
  <c r="H27" i="3"/>
  <c r="C27" i="3" s="1"/>
  <c r="I27" i="3"/>
  <c r="D27" i="3" s="1"/>
  <c r="E25" i="3"/>
  <c r="C25" i="3"/>
  <c r="C12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22" i="1" s="1"/>
  <c r="B76" i="1" s="1"/>
  <c r="B91" i="1" s="1"/>
  <c r="C48" i="1"/>
  <c r="D62" i="1"/>
  <c r="D69" i="1" s="1"/>
  <c r="C69" i="1"/>
  <c r="D48" i="1"/>
  <c r="B69" i="1"/>
  <c r="A52" i="3"/>
  <c r="A54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8" i="3" l="1"/>
  <c r="A39" i="3" s="1"/>
  <c r="A40" i="3" s="1"/>
  <c r="A41" i="3" s="1"/>
  <c r="A42" i="3" s="1"/>
  <c r="A44" i="3" l="1"/>
  <c r="A45" i="3" s="1"/>
  <c r="A46" i="3" s="1"/>
  <c r="A47" i="3" s="1"/>
  <c r="A48" i="3" s="1"/>
  <c r="A49" i="3" s="1"/>
  <c r="A51" i="3" s="1"/>
  <c r="A53" i="3" s="1"/>
  <c r="A55" i="3" s="1"/>
  <c r="B99" i="1" l="1"/>
  <c r="B109" i="1" s="1"/>
  <c r="C30" i="3"/>
  <c r="C90" i="3"/>
  <c r="C36" i="3"/>
  <c r="C31" i="3" s="1"/>
  <c r="C89" i="3"/>
</calcChain>
</file>

<file path=xl/sharedStrings.xml><?xml version="1.0" encoding="utf-8"?>
<sst xmlns="http://schemas.openxmlformats.org/spreadsheetml/2006/main" count="202" uniqueCount="170">
  <si>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</si>
  <si>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</si>
  <si>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</si>
  <si>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</si>
  <si>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</si>
  <si>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</si>
  <si>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</si>
  <si>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</si>
  <si>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</si>
  <si>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</si>
  <si>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</si>
  <si>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</si>
  <si>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</si>
  <si>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</si>
  <si>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</si>
  <si>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</si>
  <si>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</si>
  <si>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</si>
  <si>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</si>
  <si>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</si>
  <si>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</si>
  <si>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</si>
  <si>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</si>
  <si>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</si>
  <si>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</si>
  <si>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</si>
  <si>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</si>
  <si>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</si>
  <si>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</si>
  <si>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</si>
  <si>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</si>
  <si>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</si>
  <si>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</si>
  <si>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</si>
  <si>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</si>
  <si>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</si>
  <si>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</si>
  <si>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</si>
  <si>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</si>
  <si>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</si>
  <si>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</si>
  <si>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</si>
  <si>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</si>
  <si>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</si>
  <si>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</si>
  <si>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</si>
  <si>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</si>
  <si>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</si>
  <si>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</si>
  <si>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</si>
  <si>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</si>
  <si>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</si>
  <si>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</si>
  <si>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</si>
  <si>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</si>
  <si>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</si>
  <si>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</si>
  <si>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</si>
  <si>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</si>
  <si>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</si>
  <si>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</si>
  <si>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</si>
  <si>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</si>
  <si>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</si>
  <si>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</si>
  <si>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</si>
  <si>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</si>
  <si>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</si>
  <si>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</si>
  <si>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</si>
  <si>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</si>
  <si>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</si>
  <si>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</si>
  <si>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</si>
  <si>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</si>
  <si>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</si>
  <si>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</si>
  <si>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</si>
  <si>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</si>
  <si>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</si>
  <si>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</si>
  <si>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</si>
  <si>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</si>
  <si>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</si>
  <si>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</si>
  <si>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</si>
  <si>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</si>
  <si>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</si>
  <si>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</si>
  <si>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</si>
  <si>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</si>
  <si>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</si>
  <si>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</si>
  <si>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</si>
  <si>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</si>
  <si>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</si>
  <si>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</si>
  <si>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</si>
  <si>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</si>
  <si>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</si>
  <si>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</si>
  <si>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</si>
  <si>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</si>
  <si>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</si>
  <si>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</si>
  <si>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</si>
  <si>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</si>
  <si>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</si>
  <si>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</si>
  <si>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</si>
  <si>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</si>
  <si>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</si>
  <si>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</si>
  <si>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</si>
  <si>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</si>
  <si>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</si>
  <si>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</si>
  <si>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</si>
  <si>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</si>
  <si>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</si>
  <si>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</si>
  <si>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</si>
  <si>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</si>
  <si>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</si>
  <si>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</si>
  <si>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</si>
  <si>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</si>
  <si>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</si>
  <si>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</si>
  <si>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</si>
  <si>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</si>
  <si>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</si>
  <si>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</si>
  <si>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</si>
  <si>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</si>
  <si>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</si>
  <si>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</si>
  <si>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</si>
  <si>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</si>
  <si>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</si>
  <si>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</si>
  <si>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</si>
  <si>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</si>
  <si>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</si>
  <si>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</si>
  <si>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</si>
  <si>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</si>
  <si>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</si>
  <si>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</si>
  <si>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</si>
  <si>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Total debt</t>
  </si>
  <si>
    <t>Total capital</t>
  </si>
  <si>
    <t>Average payable</t>
  </si>
  <si>
    <t>Average assets</t>
  </si>
  <si>
    <t>Growth rates</t>
  </si>
  <si>
    <t>Gross Profit</t>
  </si>
  <si>
    <t xml:space="preserve">margins/ as a % of net </t>
  </si>
  <si>
    <t>Equity value</t>
  </si>
  <si>
    <t>+ Debt</t>
  </si>
  <si>
    <t>- Cash and cash equivalents</t>
  </si>
  <si>
    <t>- Marketable securities</t>
  </si>
  <si>
    <t>Average inventory</t>
  </si>
  <si>
    <t>average receivable</t>
  </si>
  <si>
    <t>Average FA</t>
  </si>
  <si>
    <t>+ Depreciation and amortization</t>
  </si>
  <si>
    <t>- Working capital changes</t>
  </si>
  <si>
    <t>- Capex</t>
  </si>
  <si>
    <t xml:space="preserve">Price as on </t>
  </si>
  <si>
    <t>September</t>
  </si>
  <si>
    <t>I have taken the share price as at the end of September of each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</si>
</sst>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43" fontId="0" fillId="0" borderId="0" xfId="1" applyFont="1"/>
    <xf numFmtId="9" fontId="0" fillId="0" borderId="0" xfId="3" applyFont="1"/>
    <xf numFmtId="43" fontId="0" fillId="0" borderId="0" xfId="0" applyNumberFormat="1"/>
    <xf numFmtId="164" fontId="0" fillId="0" borderId="0" xfId="0" applyNumberFormat="1"/>
    <xf numFmtId="0" fontId="0" fillId="0" borderId="0" xfId="0" quotePrefix="1" applyAlignment="1">
      <alignment horizontal="left" indent="2"/>
    </xf>
    <xf numFmtId="15" fontId="0" fillId="0" borderId="0" xfId="0" applyNumberFormat="1"/>
    <xf numFmtId="10" fontId="0" fillId="0" borderId="0" xfId="3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3" zoomScale="159" workbookViewId="0">
      <selection activeCell="A29" sqref="A29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8" zoomScale="127" workbookViewId="0">
      <selection activeCell="B38" sqref="B38:C38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5" max="5" width="15.88671875" bestFit="1" customWidth="1"/>
    <col min="6" max="6" width="9.332031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1" t="s">
        <v>1</v>
      </c>
      <c r="B2" s="31"/>
      <c r="C2" s="31"/>
      <c r="D2" s="31"/>
    </row>
    <row r="3" spans="1:10" x14ac:dyDescent="0.3">
      <c r="B3" s="30" t="s">
        <v>23</v>
      </c>
      <c r="C3" s="30"/>
      <c r="D3" s="30"/>
    </row>
    <row r="4" spans="1:10" x14ac:dyDescent="0.3">
      <c r="B4" s="7">
        <v>2022</v>
      </c>
      <c r="C4" s="7">
        <v>2021</v>
      </c>
      <c r="D4" s="7">
        <v>2020</v>
      </c>
      <c r="E4" s="7">
        <v>2019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</row>
    <row r="8" spans="1:10" x14ac:dyDescent="0.3">
      <c r="A8" s="8" t="s">
        <v>6</v>
      </c>
      <c r="B8" s="13">
        <f>+B6+B7</f>
        <v>394328</v>
      </c>
      <c r="C8" s="13">
        <f t="shared" ref="C8:E8" si="0">+C6+C7</f>
        <v>365817</v>
      </c>
      <c r="D8" s="13">
        <f t="shared" si="0"/>
        <v>274515</v>
      </c>
      <c r="E8" s="13">
        <f t="shared" si="0"/>
        <v>260174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E10" s="2">
        <v>144996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E11" s="2">
        <v>16786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 s="13">
        <f t="shared" ref="E12" si="2">+E10+E11</f>
        <v>161782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  <c r="E13" s="13">
        <f t="shared" ref="E13" si="4">+E8-E12</f>
        <v>98392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E15" s="2">
        <v>16217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E16" s="2">
        <v>18245</v>
      </c>
    </row>
    <row r="17" spans="1:6" x14ac:dyDescent="0.3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:E17" si="6">+D15+D16</f>
        <v>38668</v>
      </c>
      <c r="E17" s="13">
        <f t="shared" si="6"/>
        <v>34462</v>
      </c>
    </row>
    <row r="18" spans="1:6" s="7" customFormat="1" x14ac:dyDescent="0.3">
      <c r="A18" s="8" t="s">
        <v>14</v>
      </c>
      <c r="B18" s="13">
        <f>+B13-B17</f>
        <v>119437</v>
      </c>
      <c r="C18" s="13">
        <f t="shared" ref="C18:E18" si="7">+C13-C17</f>
        <v>108949</v>
      </c>
      <c r="D18" s="13">
        <f t="shared" si="7"/>
        <v>66288</v>
      </c>
      <c r="E18" s="13">
        <f t="shared" si="7"/>
        <v>63930</v>
      </c>
    </row>
    <row r="19" spans="1:6" x14ac:dyDescent="0.3">
      <c r="A19" t="s">
        <v>15</v>
      </c>
      <c r="B19" s="12">
        <v>-334</v>
      </c>
      <c r="C19" s="12">
        <v>258</v>
      </c>
      <c r="D19" s="12">
        <v>803</v>
      </c>
      <c r="E19" s="2">
        <v>1807</v>
      </c>
    </row>
    <row r="20" spans="1:6" x14ac:dyDescent="0.3">
      <c r="A20" s="8" t="s">
        <v>16</v>
      </c>
      <c r="B20" s="13">
        <f>+B18+B19</f>
        <v>119103</v>
      </c>
      <c r="C20" s="13">
        <f t="shared" ref="C20:E20" si="8">+C18+C19</f>
        <v>109207</v>
      </c>
      <c r="D20" s="13">
        <f t="shared" si="8"/>
        <v>67091</v>
      </c>
      <c r="E20" s="13">
        <f t="shared" si="8"/>
        <v>65737</v>
      </c>
    </row>
    <row r="21" spans="1:6" x14ac:dyDescent="0.3">
      <c r="A21" t="s">
        <v>17</v>
      </c>
      <c r="B21" s="12">
        <v>19300</v>
      </c>
      <c r="C21" s="12">
        <v>14527</v>
      </c>
      <c r="D21" s="12">
        <v>9680</v>
      </c>
      <c r="E21" s="2">
        <v>10481</v>
      </c>
    </row>
    <row r="22" spans="1:6" ht="15" thickBot="1" x14ac:dyDescent="0.35">
      <c r="A22" s="9" t="s">
        <v>18</v>
      </c>
      <c r="B22" s="14">
        <f>+B20-B21</f>
        <v>99803</v>
      </c>
      <c r="C22" s="14">
        <f t="shared" ref="C22:E22" si="9">+C20-C21</f>
        <v>94680</v>
      </c>
      <c r="D22" s="14">
        <f t="shared" si="9"/>
        <v>57411</v>
      </c>
      <c r="E22" s="14">
        <f t="shared" si="9"/>
        <v>55256</v>
      </c>
    </row>
    <row r="23" spans="1:6" ht="15" thickTop="1" x14ac:dyDescent="0.3">
      <c r="A23" t="s">
        <v>19</v>
      </c>
    </row>
    <row r="24" spans="1:6" x14ac:dyDescent="0.3">
      <c r="A24" s="1" t="s">
        <v>20</v>
      </c>
      <c r="B24" s="10">
        <v>6.15</v>
      </c>
      <c r="C24" s="10">
        <v>5.67</v>
      </c>
      <c r="D24" s="10">
        <v>3.31</v>
      </c>
      <c r="E24" s="10">
        <v>2.99</v>
      </c>
      <c r="F24" s="25"/>
    </row>
    <row r="25" spans="1:6" x14ac:dyDescent="0.3">
      <c r="A25" s="1" t="s">
        <v>21</v>
      </c>
      <c r="B25" s="10">
        <v>6.11</v>
      </c>
      <c r="C25" s="10">
        <v>5.61</v>
      </c>
      <c r="D25" s="10">
        <v>3.28</v>
      </c>
      <c r="E25" s="10">
        <v>2.97</v>
      </c>
    </row>
    <row r="26" spans="1:6" x14ac:dyDescent="0.3">
      <c r="A26" t="s">
        <v>22</v>
      </c>
    </row>
    <row r="27" spans="1:6" x14ac:dyDescent="0.3">
      <c r="A27" s="1" t="s">
        <v>20</v>
      </c>
      <c r="B27" s="2">
        <v>16215963</v>
      </c>
      <c r="C27" s="2">
        <v>16701272</v>
      </c>
      <c r="D27" s="2">
        <v>17352119</v>
      </c>
      <c r="E27" s="2">
        <v>18471336</v>
      </c>
    </row>
    <row r="28" spans="1:6" x14ac:dyDescent="0.3">
      <c r="A28" s="1" t="s">
        <v>21</v>
      </c>
      <c r="B28" s="2">
        <v>16325819</v>
      </c>
      <c r="C28" s="2">
        <v>16864919</v>
      </c>
      <c r="D28" s="2">
        <v>17528214</v>
      </c>
      <c r="E28" s="2">
        <v>18595651</v>
      </c>
    </row>
    <row r="29" spans="1:6" x14ac:dyDescent="0.3">
      <c r="E29" s="25"/>
    </row>
    <row r="31" spans="1:6" x14ac:dyDescent="0.3">
      <c r="A31" s="31" t="s">
        <v>24</v>
      </c>
      <c r="B31" s="31"/>
      <c r="C31" s="31"/>
      <c r="D31" s="31"/>
    </row>
    <row r="32" spans="1:6" x14ac:dyDescent="0.3">
      <c r="B32" s="30" t="s">
        <v>142</v>
      </c>
      <c r="C32" s="30"/>
      <c r="D32" s="30"/>
    </row>
    <row r="33" spans="1:5" x14ac:dyDescent="0.3">
      <c r="B33" s="7">
        <f>+B4</f>
        <v>2022</v>
      </c>
      <c r="C33" s="7">
        <f t="shared" ref="C33:D33" si="10">+C4</f>
        <v>2021</v>
      </c>
      <c r="D33" s="7">
        <f t="shared" si="10"/>
        <v>2020</v>
      </c>
      <c r="E33" s="7">
        <v>2019</v>
      </c>
    </row>
    <row r="35" spans="1:5" x14ac:dyDescent="0.3">
      <c r="A35" t="s">
        <v>25</v>
      </c>
    </row>
    <row r="36" spans="1:5" x14ac:dyDescent="0.3">
      <c r="A36" s="1" t="s">
        <v>26</v>
      </c>
      <c r="B36" s="12">
        <v>23646</v>
      </c>
      <c r="C36" s="12">
        <v>34940</v>
      </c>
      <c r="D36" s="12">
        <v>38016</v>
      </c>
      <c r="E36" s="2">
        <v>48844</v>
      </c>
    </row>
    <row r="37" spans="1:5" x14ac:dyDescent="0.3">
      <c r="A37" s="1" t="s">
        <v>27</v>
      </c>
      <c r="B37" s="12">
        <v>24658</v>
      </c>
      <c r="C37" s="12">
        <v>27699</v>
      </c>
      <c r="D37" s="12">
        <v>52927</v>
      </c>
      <c r="E37" s="2">
        <v>51713</v>
      </c>
    </row>
    <row r="38" spans="1:5" x14ac:dyDescent="0.3">
      <c r="A38" s="1" t="s">
        <v>28</v>
      </c>
      <c r="B38" s="12">
        <v>28184</v>
      </c>
      <c r="C38" s="12">
        <v>26278</v>
      </c>
      <c r="D38" s="12">
        <v>16120</v>
      </c>
      <c r="E38" s="2">
        <v>22926</v>
      </c>
    </row>
    <row r="39" spans="1:5" x14ac:dyDescent="0.3">
      <c r="A39" s="1" t="s">
        <v>29</v>
      </c>
      <c r="B39" s="12">
        <v>4946</v>
      </c>
      <c r="C39" s="12">
        <v>6580</v>
      </c>
      <c r="D39" s="12">
        <v>4061</v>
      </c>
      <c r="E39" s="2">
        <v>4106</v>
      </c>
    </row>
    <row r="40" spans="1:5" x14ac:dyDescent="0.3">
      <c r="A40" s="1" t="s">
        <v>47</v>
      </c>
      <c r="B40" s="12">
        <v>32748</v>
      </c>
      <c r="C40" s="12">
        <v>25228</v>
      </c>
      <c r="D40" s="12">
        <v>21325</v>
      </c>
      <c r="E40" s="2">
        <v>22878</v>
      </c>
    </row>
    <row r="41" spans="1:5" x14ac:dyDescent="0.3">
      <c r="A41" s="1" t="s">
        <v>30</v>
      </c>
      <c r="B41" s="12">
        <v>21223</v>
      </c>
      <c r="C41" s="12">
        <v>14111</v>
      </c>
      <c r="D41" s="12">
        <v>11264</v>
      </c>
      <c r="E41" s="2">
        <v>12352</v>
      </c>
    </row>
    <row r="42" spans="1:5" x14ac:dyDescent="0.3">
      <c r="A42" s="8" t="s">
        <v>31</v>
      </c>
      <c r="B42" s="13">
        <f>+SUM(B36:B41)</f>
        <v>135405</v>
      </c>
      <c r="C42" s="13">
        <f t="shared" ref="C42:E42" si="11">+SUM(C36:C41)</f>
        <v>134836</v>
      </c>
      <c r="D42" s="13">
        <f t="shared" si="11"/>
        <v>143713</v>
      </c>
      <c r="E42" s="13">
        <f t="shared" si="11"/>
        <v>162819</v>
      </c>
    </row>
    <row r="43" spans="1:5" x14ac:dyDescent="0.3">
      <c r="A43" t="s">
        <v>48</v>
      </c>
      <c r="B43" s="12"/>
      <c r="C43" s="12"/>
      <c r="D43" s="12"/>
    </row>
    <row r="44" spans="1:5" x14ac:dyDescent="0.3">
      <c r="A44" s="1" t="s">
        <v>27</v>
      </c>
      <c r="B44" s="12">
        <v>120805</v>
      </c>
      <c r="C44" s="12">
        <v>127877</v>
      </c>
      <c r="D44" s="12">
        <v>100887</v>
      </c>
      <c r="E44" s="2">
        <v>105341</v>
      </c>
    </row>
    <row r="45" spans="1:5" x14ac:dyDescent="0.3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 x14ac:dyDescent="0.3">
      <c r="A46" s="1" t="s">
        <v>49</v>
      </c>
      <c r="B46" s="12">
        <v>54428</v>
      </c>
      <c r="C46" s="12">
        <v>48849</v>
      </c>
      <c r="D46" s="12">
        <v>42522</v>
      </c>
      <c r="E46" s="2">
        <v>32978</v>
      </c>
    </row>
    <row r="47" spans="1:5" x14ac:dyDescent="0.3">
      <c r="A47" s="8" t="s">
        <v>50</v>
      </c>
      <c r="B47" s="13">
        <f>+SUM(B44:B46)</f>
        <v>217350</v>
      </c>
      <c r="C47" s="13">
        <f t="shared" ref="C47:D47" si="12">+SUM(C44:C46)</f>
        <v>216166</v>
      </c>
      <c r="D47" s="13">
        <f t="shared" si="12"/>
        <v>180175</v>
      </c>
      <c r="E47" s="13">
        <f t="shared" ref="E47" si="13">+SUM(E44:E46)</f>
        <v>175697</v>
      </c>
    </row>
    <row r="48" spans="1:5" ht="15" thickBot="1" x14ac:dyDescent="0.35">
      <c r="A48" s="9" t="s">
        <v>33</v>
      </c>
      <c r="B48" s="14">
        <f>+B42+B47</f>
        <v>352755</v>
      </c>
      <c r="C48" s="14">
        <f t="shared" ref="C48:D48" si="14">+C42+C47</f>
        <v>351002</v>
      </c>
      <c r="D48" s="14">
        <f t="shared" si="14"/>
        <v>323888</v>
      </c>
      <c r="E48" s="14">
        <f t="shared" ref="E48" si="15">+E42+E47</f>
        <v>338516</v>
      </c>
    </row>
    <row r="49" spans="1:5" ht="15" thickTop="1" x14ac:dyDescent="0.3"/>
    <row r="50" spans="1:5" x14ac:dyDescent="0.3">
      <c r="A50" t="s">
        <v>34</v>
      </c>
    </row>
    <row r="51" spans="1:5" x14ac:dyDescent="0.3">
      <c r="A51" s="1" t="s">
        <v>35</v>
      </c>
      <c r="B51" s="12">
        <v>64115</v>
      </c>
      <c r="C51" s="12">
        <v>54763</v>
      </c>
      <c r="D51" s="12">
        <v>42296</v>
      </c>
      <c r="E51" s="2">
        <v>46236</v>
      </c>
    </row>
    <row r="52" spans="1:5" x14ac:dyDescent="0.3">
      <c r="A52" s="1" t="s">
        <v>36</v>
      </c>
      <c r="B52" s="12">
        <v>60845</v>
      </c>
      <c r="C52" s="12">
        <v>47493</v>
      </c>
      <c r="D52" s="12">
        <v>42684</v>
      </c>
      <c r="E52" s="2">
        <v>37720</v>
      </c>
    </row>
    <row r="53" spans="1:5" x14ac:dyDescent="0.3">
      <c r="A53" s="1" t="s">
        <v>37</v>
      </c>
      <c r="B53" s="12">
        <v>7912</v>
      </c>
      <c r="C53" s="12">
        <v>7612</v>
      </c>
      <c r="D53" s="12">
        <v>6643</v>
      </c>
      <c r="E53" s="2">
        <v>5522</v>
      </c>
    </row>
    <row r="54" spans="1:5" x14ac:dyDescent="0.3">
      <c r="A54" s="1" t="s">
        <v>38</v>
      </c>
      <c r="B54" s="12">
        <v>9982</v>
      </c>
      <c r="C54" s="12">
        <v>6000</v>
      </c>
      <c r="D54" s="12">
        <v>4996</v>
      </c>
      <c r="E54" s="2">
        <v>5980</v>
      </c>
    </row>
    <row r="55" spans="1:5" x14ac:dyDescent="0.3">
      <c r="A55" s="1" t="s">
        <v>39</v>
      </c>
      <c r="B55" s="12">
        <v>11128</v>
      </c>
      <c r="C55" s="12">
        <v>9613</v>
      </c>
      <c r="D55" s="12">
        <v>8773</v>
      </c>
      <c r="E55" s="2">
        <v>10260</v>
      </c>
    </row>
    <row r="56" spans="1:5" x14ac:dyDescent="0.3">
      <c r="A56" s="8" t="s">
        <v>40</v>
      </c>
      <c r="B56" s="13">
        <f>+SUM(B51:B55)</f>
        <v>153982</v>
      </c>
      <c r="C56" s="13">
        <f t="shared" ref="C56:E56" si="16">+SUM(C51:C55)</f>
        <v>125481</v>
      </c>
      <c r="D56" s="13">
        <f t="shared" si="16"/>
        <v>105392</v>
      </c>
      <c r="E56" s="13">
        <f t="shared" si="16"/>
        <v>105718</v>
      </c>
    </row>
    <row r="57" spans="1:5" x14ac:dyDescent="0.3">
      <c r="A57" t="s">
        <v>51</v>
      </c>
      <c r="B57" s="12"/>
      <c r="C57" s="12"/>
      <c r="D57" s="12"/>
    </row>
    <row r="58" spans="1:5" x14ac:dyDescent="0.3">
      <c r="A58" s="1" t="s">
        <v>37</v>
      </c>
      <c r="B58" s="12"/>
      <c r="C58" s="12"/>
      <c r="D58" s="12"/>
    </row>
    <row r="59" spans="1:5" x14ac:dyDescent="0.3">
      <c r="A59" s="1" t="s">
        <v>39</v>
      </c>
      <c r="B59" s="12">
        <v>98959</v>
      </c>
      <c r="C59" s="12">
        <v>109106</v>
      </c>
      <c r="D59" s="12">
        <v>98667</v>
      </c>
      <c r="E59" s="2">
        <v>91807</v>
      </c>
    </row>
    <row r="60" spans="1:5" x14ac:dyDescent="0.3">
      <c r="A60" s="1" t="s">
        <v>52</v>
      </c>
      <c r="B60" s="12">
        <v>49142</v>
      </c>
      <c r="C60" s="12">
        <v>53325</v>
      </c>
      <c r="D60" s="12">
        <v>54490</v>
      </c>
      <c r="E60" s="2">
        <v>50503</v>
      </c>
    </row>
    <row r="61" spans="1:5" x14ac:dyDescent="0.3">
      <c r="A61" s="22" t="s">
        <v>53</v>
      </c>
      <c r="B61" s="21">
        <f>+B59+B60</f>
        <v>148101</v>
      </c>
      <c r="C61" s="21">
        <f t="shared" ref="C61:D61" si="17">+C59+C60</f>
        <v>162431</v>
      </c>
      <c r="D61" s="21">
        <f t="shared" si="17"/>
        <v>153157</v>
      </c>
      <c r="E61" s="21">
        <f t="shared" ref="E61" si="18">+E59+E60</f>
        <v>142310</v>
      </c>
    </row>
    <row r="62" spans="1:5" x14ac:dyDescent="0.3">
      <c r="A62" s="8" t="s">
        <v>41</v>
      </c>
      <c r="B62" s="13">
        <f>+B56+B61</f>
        <v>302083</v>
      </c>
      <c r="C62" s="13">
        <f t="shared" ref="C62:D62" si="19">+C56+C61</f>
        <v>287912</v>
      </c>
      <c r="D62" s="13">
        <f t="shared" si="19"/>
        <v>258549</v>
      </c>
      <c r="E62" s="13">
        <f t="shared" ref="E62" si="20">+E56+E61</f>
        <v>248028</v>
      </c>
    </row>
    <row r="63" spans="1:5" x14ac:dyDescent="0.3">
      <c r="B63" s="12"/>
      <c r="C63" s="12"/>
      <c r="D63" s="12"/>
    </row>
    <row r="64" spans="1:5" x14ac:dyDescent="0.3">
      <c r="A64" t="s">
        <v>42</v>
      </c>
      <c r="B64" s="12"/>
      <c r="C64" s="12"/>
      <c r="D64" s="12"/>
    </row>
    <row r="65" spans="1:5" x14ac:dyDescent="0.3">
      <c r="A65" s="1" t="s">
        <v>54</v>
      </c>
      <c r="B65" s="12">
        <v>64849</v>
      </c>
      <c r="C65" s="12">
        <v>57365</v>
      </c>
      <c r="D65" s="12">
        <v>50779</v>
      </c>
      <c r="E65" s="2">
        <v>45174</v>
      </c>
    </row>
    <row r="66" spans="1:5" x14ac:dyDescent="0.3">
      <c r="A66" s="1" t="s">
        <v>43</v>
      </c>
      <c r="B66" s="12">
        <v>-3068</v>
      </c>
      <c r="C66" s="12">
        <v>5562</v>
      </c>
      <c r="D66" s="12">
        <v>14966</v>
      </c>
      <c r="E66" s="2">
        <v>45898</v>
      </c>
    </row>
    <row r="67" spans="1:5" x14ac:dyDescent="0.3">
      <c r="A67" s="1" t="s">
        <v>44</v>
      </c>
      <c r="B67" s="12">
        <v>-11109</v>
      </c>
      <c r="C67" s="12">
        <v>163</v>
      </c>
      <c r="D67" s="12">
        <v>-406</v>
      </c>
      <c r="E67" s="12">
        <v>-584</v>
      </c>
    </row>
    <row r="68" spans="1:5" x14ac:dyDescent="0.3">
      <c r="A68" s="8" t="s">
        <v>45</v>
      </c>
      <c r="B68" s="13">
        <f>+SUM(B65:B67)</f>
        <v>50672</v>
      </c>
      <c r="C68" s="13">
        <f t="shared" ref="C68:D68" si="21">+SUM(C65:C67)</f>
        <v>63090</v>
      </c>
      <c r="D68" s="13">
        <f t="shared" si="21"/>
        <v>65339</v>
      </c>
      <c r="E68" s="13">
        <f t="shared" ref="E68" si="22">+SUM(E65:E67)</f>
        <v>90488</v>
      </c>
    </row>
    <row r="69" spans="1:5" ht="15" thickBot="1" x14ac:dyDescent="0.35">
      <c r="A69" s="9" t="s">
        <v>46</v>
      </c>
      <c r="B69" s="14">
        <f>+B68+B62</f>
        <v>352755</v>
      </c>
      <c r="C69" s="14">
        <f t="shared" ref="C69:D69" si="23">+C68+C62</f>
        <v>351002</v>
      </c>
      <c r="D69" s="14">
        <f t="shared" si="23"/>
        <v>323888</v>
      </c>
      <c r="E69" s="14">
        <f t="shared" ref="E69" si="24">+E68+E62</f>
        <v>338516</v>
      </c>
    </row>
    <row r="70" spans="1:5" ht="15" thickTop="1" x14ac:dyDescent="0.3"/>
    <row r="71" spans="1:5" x14ac:dyDescent="0.3">
      <c r="A71" s="31" t="s">
        <v>55</v>
      </c>
      <c r="B71" s="31"/>
      <c r="C71" s="31"/>
      <c r="D71" s="31"/>
    </row>
    <row r="72" spans="1:5" x14ac:dyDescent="0.3">
      <c r="B72" s="30" t="s">
        <v>23</v>
      </c>
      <c r="C72" s="30"/>
      <c r="D72" s="30"/>
    </row>
    <row r="73" spans="1:5" x14ac:dyDescent="0.3">
      <c r="B73" s="7">
        <f>+B33</f>
        <v>2022</v>
      </c>
      <c r="C73" s="7">
        <f t="shared" ref="C73:D73" si="25">+C33</f>
        <v>2021</v>
      </c>
      <c r="D73" s="7">
        <f t="shared" si="25"/>
        <v>2020</v>
      </c>
    </row>
    <row r="75" spans="1:5" x14ac:dyDescent="0.3">
      <c r="A75" s="7" t="s">
        <v>56</v>
      </c>
      <c r="B75" s="15"/>
      <c r="C75" s="15"/>
      <c r="D75" s="15"/>
    </row>
    <row r="76" spans="1:5" x14ac:dyDescent="0.3">
      <c r="A76" t="s">
        <v>57</v>
      </c>
      <c r="B76" s="12">
        <f>+B22</f>
        <v>99803</v>
      </c>
      <c r="C76" s="12">
        <f t="shared" ref="C76:D76" si="26">+C22</f>
        <v>94680</v>
      </c>
      <c r="D76" s="12">
        <f t="shared" si="26"/>
        <v>57411</v>
      </c>
    </row>
    <row r="77" spans="1:5" x14ac:dyDescent="0.3">
      <c r="A77" s="11" t="s">
        <v>18</v>
      </c>
      <c r="B77" s="15"/>
      <c r="C77" s="15"/>
      <c r="D77" s="15"/>
    </row>
    <row r="78" spans="1:5" x14ac:dyDescent="0.3">
      <c r="A78" s="1" t="s">
        <v>58</v>
      </c>
      <c r="B78" s="12"/>
      <c r="C78" s="12"/>
      <c r="D78" s="12"/>
    </row>
    <row r="79" spans="1:5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5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27">+SUM(C76:C90)</f>
        <v>104038</v>
      </c>
      <c r="D91" s="13">
        <f t="shared" si="27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6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6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6" x14ac:dyDescent="0.3">
      <c r="A99" s="8" t="s">
        <v>70</v>
      </c>
      <c r="B99" s="13">
        <f>+SUM(B93:B98)</f>
        <v>-22354</v>
      </c>
      <c r="C99" s="13">
        <f t="shared" ref="C99:D99" si="28">+SUM(C93:C98)</f>
        <v>-14545</v>
      </c>
      <c r="D99" s="13">
        <f t="shared" si="28"/>
        <v>-4289</v>
      </c>
    </row>
    <row r="100" spans="1:6" x14ac:dyDescent="0.3">
      <c r="A100" s="7" t="s">
        <v>71</v>
      </c>
      <c r="B100" s="12"/>
      <c r="C100" s="12"/>
      <c r="D100" s="12"/>
    </row>
    <row r="101" spans="1:6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6" x14ac:dyDescent="0.3">
      <c r="A102" s="1" t="s">
        <v>72</v>
      </c>
      <c r="B102" s="12">
        <v>-14841</v>
      </c>
      <c r="C102" s="12">
        <v>-14467</v>
      </c>
      <c r="D102" s="12">
        <v>-14081</v>
      </c>
      <c r="E102" s="26"/>
      <c r="F102" s="25"/>
    </row>
    <row r="103" spans="1:6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6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6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6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6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6" x14ac:dyDescent="0.3">
      <c r="A108" s="8" t="s">
        <v>77</v>
      </c>
      <c r="B108" s="13">
        <f>+SUM(B101:B107)</f>
        <v>-110749</v>
      </c>
      <c r="C108" s="13">
        <f t="shared" ref="C108:D108" si="29">+SUM(C101:C107)</f>
        <v>-93353</v>
      </c>
      <c r="D108" s="13">
        <f t="shared" si="29"/>
        <v>-86820</v>
      </c>
    </row>
    <row r="109" spans="1:6" x14ac:dyDescent="0.3">
      <c r="A109" s="8" t="s">
        <v>78</v>
      </c>
      <c r="B109" s="13">
        <f>+B91+B99+B108</f>
        <v>-10952</v>
      </c>
      <c r="C109" s="13">
        <f t="shared" ref="C109:D109" si="30">+C91+C99+C108</f>
        <v>-3860</v>
      </c>
      <c r="D109" s="13">
        <f t="shared" si="30"/>
        <v>-10435</v>
      </c>
    </row>
    <row r="110" spans="1:6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6" ht="15" thickTop="1" x14ac:dyDescent="0.3">
      <c r="B111" s="12"/>
      <c r="C111" s="12"/>
      <c r="D111" s="12"/>
    </row>
    <row r="112" spans="1:6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0"/>
  <sheetViews>
    <sheetView tabSelected="1" topLeftCell="A32" zoomScale="116" workbookViewId="0">
      <selection activeCell="A47" sqref="A47"/>
    </sheetView>
  </sheetViews>
  <sheetFormatPr defaultRowHeight="14.4" x14ac:dyDescent="0.3"/>
  <cols>
    <col min="1" max="1" width="5.6640625" bestFit="1" customWidth="1"/>
    <col min="2" max="2" width="44.88671875" customWidth="1"/>
    <col min="3" max="3" width="16.5546875" bestFit="1" customWidth="1"/>
    <col min="4" max="5" width="13" bestFit="1" customWidth="1"/>
    <col min="7" max="7" width="11.109375" bestFit="1" customWidth="1"/>
    <col min="8" max="10" width="10.3320312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30" t="s">
        <v>23</v>
      </c>
      <c r="D2" s="30"/>
      <c r="E2" s="30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H3">
        <v>2022</v>
      </c>
      <c r="I3">
        <v>2021</v>
      </c>
      <c r="J3"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3">
        <f>('Financial Statements'!B36+'Financial Statements'!B37+'Financial Statements'!B38+'Financial Statements'!B40)/'Financial Statements'!B56</f>
        <v>0.70940759309529688</v>
      </c>
      <c r="D6" s="23">
        <f>('Financial Statements'!C36+'Financial Statements'!C37+'Financial Statements'!C38+'Financial Statements'!C40)/'Financial Statements'!C56</f>
        <v>0.90965962974474224</v>
      </c>
      <c r="E6" s="23">
        <f>('Financial Statements'!D36+'Financial Statements'!D37+'Financial Statements'!D38+'Financial Statements'!D40)/'Financial Statements'!D56</f>
        <v>1.2181949294064065</v>
      </c>
    </row>
    <row r="7" spans="1:10" x14ac:dyDescent="0.3">
      <c r="A7" s="18">
        <f t="shared" si="0"/>
        <v>1.3000000000000003</v>
      </c>
      <c r="B7" s="1" t="s">
        <v>102</v>
      </c>
      <c r="C7" s="23">
        <f>('Financial Statements'!B36+'Financial Statements'!B37)/'Financial Statements'!B56</f>
        <v>0.31369900377966253</v>
      </c>
      <c r="D7" s="23">
        <f>('Financial Statements'!C36+'Financial Statements'!C37)/'Financial Statements'!C56</f>
        <v>0.49919111259872012</v>
      </c>
      <c r="E7" s="23">
        <f>('Financial Statements'!D36+'Financial Statements'!D37)/'Financial Statements'!D56</f>
        <v>0.86290230757552755</v>
      </c>
    </row>
    <row r="8" spans="1:10" x14ac:dyDescent="0.3">
      <c r="A8" s="18">
        <f t="shared" si="0"/>
        <v>1.4000000000000004</v>
      </c>
      <c r="B8" s="1" t="s">
        <v>103</v>
      </c>
      <c r="C8" s="23">
        <f>('Financial Statements'!B36+'Financial Statements'!B37)/('Financial Statements'!B17/365)</f>
        <v>343.38221832700356</v>
      </c>
      <c r="D8" s="23">
        <f>('Financial Statements'!C36+'Financial Statements'!C37)/('Financial Statements'!C17/365)</f>
        <v>520.95688928384266</v>
      </c>
      <c r="E8" s="23">
        <f>('Financial Statements'!D36+'Financial Statements'!D37)/('Financial Statements'!D17/365)</f>
        <v>858.4409589324506</v>
      </c>
    </row>
    <row r="9" spans="1:10" x14ac:dyDescent="0.3">
      <c r="A9" s="18">
        <f t="shared" si="0"/>
        <v>1.5000000000000004</v>
      </c>
      <c r="B9" s="1" t="s">
        <v>104</v>
      </c>
      <c r="C9" s="25">
        <f>365*H9/'Financial Statements'!B12</f>
        <v>9.4096740715557416</v>
      </c>
      <c r="D9" s="25">
        <f>365*I9/'Financial Statements'!C12</f>
        <v>9.1181020842234748</v>
      </c>
      <c r="E9" s="25">
        <f>365*J9/'Financial Statements'!D12</f>
        <v>8.7903178244740765</v>
      </c>
      <c r="G9" t="s">
        <v>161</v>
      </c>
      <c r="H9" s="12">
        <f>AVERAGE('Financial Statements'!B39:C39)</f>
        <v>5763</v>
      </c>
      <c r="I9" s="12">
        <f>AVERAGE('Financial Statements'!C39:D39)</f>
        <v>5320.5</v>
      </c>
      <c r="J9" s="12">
        <f>AVERAGE('Financial Statements'!D39:E39)</f>
        <v>4083.5</v>
      </c>
    </row>
    <row r="10" spans="1:10" x14ac:dyDescent="0.3">
      <c r="A10" s="18">
        <f t="shared" si="0"/>
        <v>1.6000000000000005</v>
      </c>
      <c r="B10" s="1" t="s">
        <v>105</v>
      </c>
      <c r="C10" s="23">
        <f>365*H10/'Financial Statements'!B12</f>
        <v>97.050428099809437</v>
      </c>
      <c r="D10" s="23">
        <f>365*I10/'Financial Statements'!C12</f>
        <v>83.168299050150011</v>
      </c>
      <c r="E10" s="23">
        <f>365*J10/'Financial Statements'!D12</f>
        <v>95.288896490307209</v>
      </c>
      <c r="G10" t="s">
        <v>152</v>
      </c>
      <c r="H10" s="12">
        <f>AVERAGE('Financial Statements'!B51:C51)</f>
        <v>59439</v>
      </c>
      <c r="I10" s="12">
        <f>AVERAGE('Financial Statements'!C51:D51)</f>
        <v>48529.5</v>
      </c>
      <c r="J10" s="12">
        <f>AVERAGE('Financial Statements'!D51:E51)</f>
        <v>44266</v>
      </c>
    </row>
    <row r="11" spans="1:10" x14ac:dyDescent="0.3">
      <c r="A11" s="18">
        <f t="shared" si="0"/>
        <v>1.7000000000000006</v>
      </c>
      <c r="B11" s="1" t="s">
        <v>106</v>
      </c>
      <c r="C11" s="23">
        <f>H11*365/'Financial Statements'!B8</f>
        <v>25.20570438822503</v>
      </c>
      <c r="D11" s="23">
        <f>I11*365/'Financial Statements'!C8</f>
        <v>21.151655062503931</v>
      </c>
      <c r="E11" s="23">
        <f>J11*365/'Financial Statements'!D8</f>
        <v>25.958126149755021</v>
      </c>
      <c r="G11" t="s">
        <v>162</v>
      </c>
      <c r="H11" s="12">
        <f>AVERAGE('Financial Statements'!B38:C38)</f>
        <v>27231</v>
      </c>
      <c r="I11" s="12">
        <f>AVERAGE('Financial Statements'!C38:D38)</f>
        <v>21199</v>
      </c>
      <c r="J11" s="12">
        <f>AVERAGE('Financial Statements'!D38:E38)</f>
        <v>19523</v>
      </c>
    </row>
    <row r="12" spans="1:10" x14ac:dyDescent="0.3">
      <c r="A12" s="18">
        <f t="shared" si="0"/>
        <v>1.8000000000000007</v>
      </c>
      <c r="B12" s="1" t="s">
        <v>107</v>
      </c>
      <c r="C12" s="25">
        <f>C9+C11-C10</f>
        <v>-62.435049640028666</v>
      </c>
      <c r="D12" s="25">
        <f t="shared" ref="D12:E12" si="1">D9+D11-D10</f>
        <v>-52.898541903422604</v>
      </c>
      <c r="E12" s="25">
        <f t="shared" si="1"/>
        <v>-60.540452516078112</v>
      </c>
    </row>
    <row r="13" spans="1:10" x14ac:dyDescent="0.3">
      <c r="A13" s="18">
        <f t="shared" si="0"/>
        <v>1.9000000000000008</v>
      </c>
      <c r="B13" s="1" t="s">
        <v>108</v>
      </c>
      <c r="C13" s="24">
        <f>C14/'Financial Statements'!B8</f>
        <v>-4.711052727678481E-2</v>
      </c>
      <c r="D13" s="24">
        <f>D14/'Financial Statements'!C8</f>
        <v>2.557289573748623E-2</v>
      </c>
      <c r="E13" s="24">
        <f>E14/'Financial Statements'!D8</f>
        <v>0.13959528623208203</v>
      </c>
    </row>
    <row r="14" spans="1:10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10" x14ac:dyDescent="0.3">
      <c r="A17" s="18">
        <f>+A16+0.1</f>
        <v>2.1</v>
      </c>
      <c r="B17" s="1" t="s">
        <v>9</v>
      </c>
      <c r="C17" s="24">
        <f>'Financial Statements'!B13/'Financial Statements'!B8</f>
        <v>0.43309630561360085</v>
      </c>
      <c r="D17" s="24">
        <f>'Financial Statements'!C13/'Financial Statements'!C8</f>
        <v>0.41779359625167778</v>
      </c>
      <c r="E17" s="24">
        <f>'Financial Statements'!D13/'Financial Statements'!D8</f>
        <v>0.38233247727810865</v>
      </c>
    </row>
    <row r="18" spans="1:10" x14ac:dyDescent="0.3">
      <c r="A18" s="18">
        <f>+A17+0.1</f>
        <v>2.2000000000000002</v>
      </c>
      <c r="B18" s="1" t="s">
        <v>111</v>
      </c>
      <c r="C18" s="24">
        <f>C19/'Financial Statements'!B8</f>
        <v>0.3310467428130896</v>
      </c>
      <c r="D18" s="24">
        <f>D19/'Financial Statements'!C8</f>
        <v>0.32866979938056462</v>
      </c>
      <c r="E18" s="24">
        <f>E19/'Financial Statements'!D8</f>
        <v>0.2817478097736007</v>
      </c>
    </row>
    <row r="19" spans="1:10" x14ac:dyDescent="0.3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10" x14ac:dyDescent="0.3">
      <c r="A20" s="18">
        <f>+A18+0.1</f>
        <v>2.3000000000000003</v>
      </c>
      <c r="B20" s="1" t="s">
        <v>113</v>
      </c>
      <c r="C20" s="24">
        <f>C21/'Financial Statements'!B8</f>
        <v>0.30288744395528594</v>
      </c>
      <c r="D20" s="24">
        <f>D21/'Financial Statements'!C8</f>
        <v>0.29782377527561593</v>
      </c>
      <c r="E20" s="24">
        <f>E21/'Financial Statements'!D8</f>
        <v>0.24147314354406862</v>
      </c>
    </row>
    <row r="21" spans="1:10" x14ac:dyDescent="0.3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10" x14ac:dyDescent="0.3">
      <c r="A22" s="18">
        <f>+A20+0.1</f>
        <v>2.4000000000000004</v>
      </c>
      <c r="B22" s="1" t="s">
        <v>115</v>
      </c>
      <c r="C22" s="24">
        <f>'Financial Statements'!B22/'Financial Statements'!B8</f>
        <v>0.25309640705199732</v>
      </c>
      <c r="D22" s="24">
        <f>'Financial Statements'!C22/'Financial Statements'!C8</f>
        <v>0.25881793355694238</v>
      </c>
      <c r="E22" s="24">
        <f>'Financial Statements'!D22/'Financial Statements'!D8</f>
        <v>0.20913611278072236</v>
      </c>
    </row>
    <row r="23" spans="1:10" x14ac:dyDescent="0.3">
      <c r="A23" s="18"/>
    </row>
    <row r="24" spans="1:10" x14ac:dyDescent="0.3">
      <c r="A24" s="18">
        <f>+A16+1</f>
        <v>3</v>
      </c>
      <c r="B24" s="7" t="s">
        <v>116</v>
      </c>
    </row>
    <row r="25" spans="1:10" x14ac:dyDescent="0.3">
      <c r="A25" s="18">
        <f>+A24+0.1</f>
        <v>3.1</v>
      </c>
      <c r="B25" s="1" t="s">
        <v>117</v>
      </c>
      <c r="C25" s="23">
        <f>H25/'Financial Statements'!B68</f>
        <v>2.3695334701610355</v>
      </c>
      <c r="D25" s="23">
        <f>I25/'Financial Statements'!C68</f>
        <v>1.9768426058012363</v>
      </c>
      <c r="E25" s="23">
        <f>J25/'Financial Statements'!D68</f>
        <v>1.7208099297509909</v>
      </c>
      <c r="G25" t="s">
        <v>150</v>
      </c>
      <c r="H25">
        <f>'Financial Statements'!B54+'Financial Statements'!B55+'Financial Statements'!B59</f>
        <v>120069</v>
      </c>
      <c r="I25">
        <f>'Financial Statements'!C54+'Financial Statements'!C55+'Financial Statements'!C59</f>
        <v>124719</v>
      </c>
      <c r="J25">
        <f>'Financial Statements'!D54+'Financial Statements'!D55+'Financial Statements'!D59</f>
        <v>112436</v>
      </c>
    </row>
    <row r="26" spans="1:10" x14ac:dyDescent="0.3">
      <c r="A26" s="18">
        <f t="shared" ref="A26:A30" si="2">+A25+0.1</f>
        <v>3.2</v>
      </c>
      <c r="B26" s="1" t="s">
        <v>118</v>
      </c>
      <c r="C26" s="23">
        <f>H25/'Financial Statements'!B48</f>
        <v>0.34037504783773442</v>
      </c>
      <c r="D26" s="23">
        <f>I25/'Financial Statements'!C48</f>
        <v>0.35532276169366556</v>
      </c>
      <c r="E26" s="23">
        <f>J25/'Financial Statements'!D48</f>
        <v>0.34714469199229364</v>
      </c>
    </row>
    <row r="27" spans="1:10" x14ac:dyDescent="0.3">
      <c r="A27" s="18">
        <f t="shared" si="2"/>
        <v>3.3000000000000003</v>
      </c>
      <c r="B27" s="1" t="s">
        <v>119</v>
      </c>
      <c r="C27" s="23">
        <f>'Financial Statements'!B59/'List of Ratios'!H27</f>
        <v>0.57958545399171846</v>
      </c>
      <c r="D27" s="23">
        <f>'Financial Statements'!C59/'List of Ratios'!I27</f>
        <v>0.58094127544473373</v>
      </c>
      <c r="E27" s="23">
        <f>'Financial Statements'!D59/'List of Ratios'!J27</f>
        <v>0.55501054703979746</v>
      </c>
      <c r="G27" t="s">
        <v>151</v>
      </c>
      <c r="H27">
        <f>H25+'Financial Statements'!B68</f>
        <v>170741</v>
      </c>
      <c r="I27">
        <f>I25+'Financial Statements'!C68</f>
        <v>187809</v>
      </c>
      <c r="J27">
        <f>J25+'Financial Statements'!D68</f>
        <v>177775</v>
      </c>
    </row>
    <row r="28" spans="1:10" x14ac:dyDescent="0.3">
      <c r="A28" s="18">
        <f t="shared" si="2"/>
        <v>3.4000000000000004</v>
      </c>
      <c r="B28" s="1" t="s">
        <v>120</v>
      </c>
      <c r="C28" s="23">
        <f>'Financial Statements'!B18/'Financial Statements'!B114</f>
        <v>41.68830715532286</v>
      </c>
      <c r="D28" s="23">
        <f>'Financial Statements'!C18/'Financial Statements'!C114</f>
        <v>40.546706363974693</v>
      </c>
      <c r="E28" s="23">
        <f>'Financial Statements'!D18/'Financial Statements'!D114</f>
        <v>22.081279147235175</v>
      </c>
    </row>
    <row r="29" spans="1:10" x14ac:dyDescent="0.3">
      <c r="A29" s="18">
        <f t="shared" si="2"/>
        <v>3.5000000000000004</v>
      </c>
      <c r="B29" s="1" t="s">
        <v>121</v>
      </c>
      <c r="C29" s="23">
        <f>H25/'Financial Statements'!B18</f>
        <v>1.0052914925860494</v>
      </c>
      <c r="D29" s="23">
        <f>I25/'Financial Statements'!C18</f>
        <v>1.1447466245674582</v>
      </c>
      <c r="E29" s="23">
        <f>J25/'Financial Statements'!D18</f>
        <v>1.6961742698527638</v>
      </c>
      <c r="H29" s="25"/>
    </row>
    <row r="30" spans="1:10" x14ac:dyDescent="0.3">
      <c r="A30" s="18">
        <f t="shared" si="2"/>
        <v>3.6000000000000005</v>
      </c>
      <c r="B30" s="1" t="s">
        <v>122</v>
      </c>
      <c r="C30" s="23">
        <f>C31/'Financial Statements'!B27*1000</f>
        <v>6.1050336634339875</v>
      </c>
      <c r="D30" s="23">
        <f>D31/'Financial Statements'!C27*1000</f>
        <v>5.974994000456971</v>
      </c>
      <c r="E30" s="23">
        <f>E31/'Financial Statements'!D27*1000</f>
        <v>3.1966124713644484</v>
      </c>
    </row>
    <row r="31" spans="1:10" x14ac:dyDescent="0.3">
      <c r="A31" s="18"/>
      <c r="B31" s="3" t="s">
        <v>123</v>
      </c>
      <c r="C31">
        <f>SUM(C33:C36)</f>
        <v>98999</v>
      </c>
      <c r="D31">
        <f t="shared" ref="D31:E31" si="3">SUM(D33:D36)</f>
        <v>99790</v>
      </c>
      <c r="E31">
        <f t="shared" si="3"/>
        <v>55468</v>
      </c>
    </row>
    <row r="32" spans="1:10" x14ac:dyDescent="0.3">
      <c r="A32" s="18"/>
      <c r="B32" s="3"/>
    </row>
    <row r="33" spans="1:12" x14ac:dyDescent="0.3">
      <c r="A33" s="18"/>
      <c r="B33" s="3" t="s">
        <v>18</v>
      </c>
      <c r="C33">
        <f>'Financial Statements'!B22</f>
        <v>99803</v>
      </c>
      <c r="D33">
        <f>'Financial Statements'!C22</f>
        <v>94680</v>
      </c>
      <c r="E33">
        <f>'Financial Statements'!D22</f>
        <v>57411</v>
      </c>
    </row>
    <row r="34" spans="1:12" x14ac:dyDescent="0.3">
      <c r="A34" s="18"/>
      <c r="B34" s="27" t="s">
        <v>164</v>
      </c>
      <c r="C34">
        <f>+'Financial Statements'!B79</f>
        <v>11104</v>
      </c>
      <c r="D34">
        <f>+'Financial Statements'!C79</f>
        <v>11284</v>
      </c>
      <c r="E34">
        <f>+'Financial Statements'!D79</f>
        <v>11056</v>
      </c>
    </row>
    <row r="35" spans="1:12" x14ac:dyDescent="0.3">
      <c r="A35" s="18"/>
      <c r="B35" s="27" t="s">
        <v>165</v>
      </c>
      <c r="C35">
        <f>-SUM('Financial Statements'!B84:B90)</f>
        <v>-1200</v>
      </c>
      <c r="D35">
        <f>-SUM('Financial Statements'!C84:C90)</f>
        <v>4911</v>
      </c>
      <c r="E35">
        <f>-SUM('Financial Statements'!D84:D90)</f>
        <v>-5690</v>
      </c>
    </row>
    <row r="36" spans="1:12" x14ac:dyDescent="0.3">
      <c r="A36" s="18"/>
      <c r="B36" s="27" t="s">
        <v>166</v>
      </c>
      <c r="C36">
        <f>+'Financial Statements'!B96</f>
        <v>-10708</v>
      </c>
      <c r="D36">
        <f>+'Financial Statements'!C96</f>
        <v>-11085</v>
      </c>
      <c r="E36">
        <f>+'Financial Statements'!D96</f>
        <v>-7309</v>
      </c>
    </row>
    <row r="37" spans="1:12" x14ac:dyDescent="0.3">
      <c r="A37" s="18"/>
    </row>
    <row r="38" spans="1:12" x14ac:dyDescent="0.3">
      <c r="A38" s="18">
        <f>+A24+1</f>
        <v>4</v>
      </c>
      <c r="B38" s="17" t="s">
        <v>124</v>
      </c>
    </row>
    <row r="39" spans="1:12" x14ac:dyDescent="0.3">
      <c r="A39" s="18">
        <f>+A38+0.1</f>
        <v>4.0999999999999996</v>
      </c>
      <c r="B39" s="1" t="s">
        <v>125</v>
      </c>
      <c r="C39" s="23">
        <f>'Financial Statements'!B8/H39</f>
        <v>1.1206368107173357</v>
      </c>
      <c r="D39" s="23">
        <f>'Financial Statements'!C8/I39</f>
        <v>1.084078886929722</v>
      </c>
      <c r="E39" s="23">
        <f>'Financial Statements'!D8/J39</f>
        <v>0.82884463258072116</v>
      </c>
      <c r="G39" t="s">
        <v>153</v>
      </c>
      <c r="H39">
        <f>AVERAGE('Financial Statements'!B48:C48)</f>
        <v>351878.5</v>
      </c>
      <c r="I39">
        <f>AVERAGE('Financial Statements'!C48:D48)</f>
        <v>337445</v>
      </c>
      <c r="J39">
        <f>AVERAGE('Financial Statements'!D48:E48)</f>
        <v>331202</v>
      </c>
    </row>
    <row r="40" spans="1:12" x14ac:dyDescent="0.3">
      <c r="A40" s="18">
        <f t="shared" ref="A40:A42" si="4">+A39+0.1</f>
        <v>4.1999999999999993</v>
      </c>
      <c r="B40" s="1" t="s">
        <v>126</v>
      </c>
      <c r="C40" s="23">
        <f>'Financial Statements'!B8/H40</f>
        <v>9.6699976703409884</v>
      </c>
      <c r="D40" s="23">
        <f>'Financial Statements'!C8/I40</f>
        <v>9.6007400992047867</v>
      </c>
      <c r="E40" s="23">
        <f>'Financial Statements'!D8/J40</f>
        <v>7.4049147604661201</v>
      </c>
      <c r="G40" t="s">
        <v>163</v>
      </c>
      <c r="H40">
        <f>AVERAGE('Financial Statements'!B45:C45)</f>
        <v>40778.5</v>
      </c>
      <c r="I40">
        <f>AVERAGE('Financial Statements'!C45:D45)</f>
        <v>38103</v>
      </c>
      <c r="J40">
        <f>AVERAGE('Financial Statements'!D45:E45)</f>
        <v>37072</v>
      </c>
    </row>
    <row r="41" spans="1:12" x14ac:dyDescent="0.3">
      <c r="A41" s="18">
        <f t="shared" si="4"/>
        <v>4.2999999999999989</v>
      </c>
      <c r="B41" s="1" t="s">
        <v>127</v>
      </c>
      <c r="C41" s="23">
        <f>'Financial Statements'!B12/H41</f>
        <v>38.789866389033492</v>
      </c>
      <c r="D41" s="23">
        <f>'Financial Statements'!C12/I41</f>
        <v>40.030260313880277</v>
      </c>
      <c r="E41" s="23">
        <f>'Financial Statements'!D12/J41</f>
        <v>41.52295824660218</v>
      </c>
      <c r="G41" t="s">
        <v>161</v>
      </c>
      <c r="H41" s="26">
        <f>H9</f>
        <v>5763</v>
      </c>
      <c r="I41" s="26">
        <f t="shared" ref="I41:J41" si="5">I9</f>
        <v>5320.5</v>
      </c>
      <c r="J41" s="26">
        <f t="shared" si="5"/>
        <v>4083.5</v>
      </c>
    </row>
    <row r="42" spans="1:12" x14ac:dyDescent="0.3">
      <c r="A42" s="18">
        <f t="shared" si="4"/>
        <v>4.3999999999999986</v>
      </c>
      <c r="B42" s="1" t="s">
        <v>128</v>
      </c>
      <c r="C42" s="24">
        <f>'Financial Statements'!B22/'Financial Statements'!B48</f>
        <v>0.28292440929256851</v>
      </c>
      <c r="D42" s="24">
        <f>'Financial Statements'!C22/'Financial Statements'!C48</f>
        <v>0.26974205275183616</v>
      </c>
      <c r="E42" s="24">
        <f>'Financial Statements'!D22/'Financial Statements'!D48</f>
        <v>0.1772557180259843</v>
      </c>
    </row>
    <row r="43" spans="1:12" x14ac:dyDescent="0.3">
      <c r="A43" s="18"/>
    </row>
    <row r="44" spans="1:12" x14ac:dyDescent="0.3">
      <c r="A44" s="18">
        <f>+A38+1</f>
        <v>5</v>
      </c>
      <c r="B44" s="17" t="s">
        <v>129</v>
      </c>
    </row>
    <row r="45" spans="1:12" x14ac:dyDescent="0.3">
      <c r="A45" s="18">
        <f>+A44+0.1</f>
        <v>5.0999999999999996</v>
      </c>
      <c r="B45" s="1" t="s">
        <v>130</v>
      </c>
      <c r="C45" s="23">
        <f>H45/C46</f>
        <v>22.631751227495908</v>
      </c>
      <c r="D45" s="23">
        <f>I45/D46</f>
        <v>26.188948306595361</v>
      </c>
      <c r="E45" s="23">
        <f>J45/E46</f>
        <v>34.231707317073173</v>
      </c>
      <c r="G45" t="s">
        <v>167</v>
      </c>
      <c r="H45">
        <v>138.28</v>
      </c>
      <c r="I45">
        <v>146.91999999999999</v>
      </c>
      <c r="J45">
        <v>112.28</v>
      </c>
      <c r="L45" t="s">
        <v>169</v>
      </c>
    </row>
    <row r="46" spans="1:12" x14ac:dyDescent="0.3">
      <c r="A46" s="18">
        <f t="shared" ref="A46:A49" si="6">+A45+0.1</f>
        <v>5.1999999999999993</v>
      </c>
      <c r="B46" s="3" t="s">
        <v>131</v>
      </c>
      <c r="C46">
        <f>'Financial Statements'!B25</f>
        <v>6.11</v>
      </c>
      <c r="D46">
        <f>'Financial Statements'!C25</f>
        <v>5.61</v>
      </c>
      <c r="E46">
        <f>'Financial Statements'!D25</f>
        <v>3.28</v>
      </c>
      <c r="G46" s="28" t="s">
        <v>168</v>
      </c>
    </row>
    <row r="47" spans="1:12" x14ac:dyDescent="0.3">
      <c r="A47" s="18">
        <f t="shared" si="6"/>
        <v>5.2999999999999989</v>
      </c>
      <c r="B47" s="1" t="s">
        <v>132</v>
      </c>
      <c r="C47" s="23">
        <f>H45/C48</f>
        <v>44.551907391064091</v>
      </c>
      <c r="D47" s="23">
        <f t="shared" ref="D47:E47" si="7">I45/D48</f>
        <v>39.273956244729753</v>
      </c>
      <c r="E47" s="23">
        <f t="shared" si="7"/>
        <v>30.120875249391634</v>
      </c>
    </row>
    <row r="48" spans="1:12" x14ac:dyDescent="0.3">
      <c r="A48" s="18">
        <f t="shared" si="6"/>
        <v>5.3999999999999986</v>
      </c>
      <c r="B48" s="3" t="s">
        <v>133</v>
      </c>
      <c r="C48" s="23">
        <f>'Financial Statements'!B68/'Financial Statements'!B28*1000</f>
        <v>3.1037952827971451</v>
      </c>
      <c r="D48" s="23">
        <f>'Financial Statements'!C68/'Financial Statements'!C28*1000</f>
        <v>3.740901453484597</v>
      </c>
      <c r="E48" s="23">
        <f>'Financial Statements'!D68/'Financial Statements'!D28*1000</f>
        <v>3.7276473233382479</v>
      </c>
    </row>
    <row r="49" spans="1:5" x14ac:dyDescent="0.3">
      <c r="A49" s="18">
        <f t="shared" si="6"/>
        <v>5.4999999999999982</v>
      </c>
      <c r="B49" s="1" t="s">
        <v>134</v>
      </c>
      <c r="C49" s="24">
        <f>C50/C46</f>
        <v>0.14729950900163666</v>
      </c>
      <c r="D49" s="24">
        <f t="shared" ref="D49:E49" si="8">D50/D46</f>
        <v>0.15151515151515149</v>
      </c>
      <c r="E49" s="24">
        <f t="shared" si="8"/>
        <v>0.24237804878048783</v>
      </c>
    </row>
    <row r="50" spans="1:5" x14ac:dyDescent="0.3">
      <c r="A50" s="18"/>
      <c r="B50" s="3" t="s">
        <v>135</v>
      </c>
      <c r="C50">
        <v>0.9</v>
      </c>
      <c r="D50">
        <v>0.85</v>
      </c>
      <c r="E50">
        <v>0.79500000000000004</v>
      </c>
    </row>
    <row r="51" spans="1:5" x14ac:dyDescent="0.3">
      <c r="A51" s="18">
        <f>+A49+0.1</f>
        <v>5.5999999999999979</v>
      </c>
      <c r="B51" s="1" t="s">
        <v>136</v>
      </c>
      <c r="C51" s="29">
        <f>C50/H45</f>
        <v>6.508533410471507E-3</v>
      </c>
      <c r="D51" s="29">
        <f t="shared" ref="D51:E51" si="9">D50/I45</f>
        <v>5.7854614756329978E-3</v>
      </c>
      <c r="E51" s="29">
        <f t="shared" si="9"/>
        <v>7.0805130032062704E-3</v>
      </c>
    </row>
    <row r="52" spans="1:5" x14ac:dyDescent="0.3">
      <c r="A52" s="18">
        <f t="shared" ref="A52:A55" si="10">+A50+0.1</f>
        <v>0.1</v>
      </c>
      <c r="B52" s="1" t="s">
        <v>137</v>
      </c>
      <c r="C52" s="24">
        <f>'Financial Statements'!B22/'Financial Statements'!B68</f>
        <v>1.9695887275023682</v>
      </c>
      <c r="D52" s="24">
        <f>'Financial Statements'!C22/'Financial Statements'!C68</f>
        <v>1.5007132667617689</v>
      </c>
      <c r="E52" s="24">
        <f>'Financial Statements'!D22/'Financial Statements'!D68</f>
        <v>0.87866358530127486</v>
      </c>
    </row>
    <row r="53" spans="1:5" x14ac:dyDescent="0.3">
      <c r="A53" s="18">
        <f t="shared" si="10"/>
        <v>5.6999999999999975</v>
      </c>
      <c r="B53" s="1" t="s">
        <v>138</v>
      </c>
      <c r="C53" s="24">
        <f>'Financial Statements'!B22/'List of Ratios'!H25</f>
        <v>0.83121371877836914</v>
      </c>
      <c r="D53" s="24">
        <f>'Financial Statements'!C22/'List of Ratios'!I25</f>
        <v>0.759146561470185</v>
      </c>
      <c r="E53" s="24">
        <f>'Financial Statements'!D22/'List of Ratios'!J25</f>
        <v>0.51061048062898007</v>
      </c>
    </row>
    <row r="54" spans="1:5" x14ac:dyDescent="0.3">
      <c r="A54" s="18">
        <f t="shared" si="10"/>
        <v>0.2</v>
      </c>
      <c r="B54" s="1" t="s">
        <v>128</v>
      </c>
      <c r="C54" s="24">
        <f>'Financial Statements'!B22/'Financial Statements'!B48</f>
        <v>0.28292440929256851</v>
      </c>
      <c r="D54" s="24">
        <f>'Financial Statements'!C22/'Financial Statements'!C48</f>
        <v>0.26974205275183616</v>
      </c>
      <c r="E54" s="24">
        <f>'Financial Statements'!D22/'Financial Statements'!D48</f>
        <v>0.1772557180259843</v>
      </c>
    </row>
    <row r="55" spans="1:5" x14ac:dyDescent="0.3">
      <c r="A55" s="18">
        <f t="shared" si="10"/>
        <v>5.7999999999999972</v>
      </c>
      <c r="B55" s="1" t="s">
        <v>139</v>
      </c>
      <c r="C55" s="23">
        <f>C56/C19</f>
        <v>16.918012358722546</v>
      </c>
      <c r="D55" s="23">
        <f>D56/D19</f>
        <v>20.061022343948835</v>
      </c>
      <c r="E55" s="23">
        <f>E56/E19</f>
        <v>24.419138755688873</v>
      </c>
    </row>
    <row r="56" spans="1:5" x14ac:dyDescent="0.3">
      <c r="A56" s="18"/>
      <c r="B56" s="3" t="s">
        <v>140</v>
      </c>
      <c r="C56" s="2">
        <f>SUM(C58:C61)</f>
        <v>2208494.2513199998</v>
      </c>
      <c r="D56" s="2">
        <f t="shared" ref="D56:E56" si="11">SUM(D58:D61)</f>
        <v>2411996.8994800001</v>
      </c>
      <c r="E56" s="2">
        <f t="shared" si="11"/>
        <v>1888673.8679200001</v>
      </c>
    </row>
    <row r="57" spans="1:5" x14ac:dyDescent="0.3">
      <c r="A57" s="18"/>
      <c r="B57" s="3"/>
    </row>
    <row r="58" spans="1:5" x14ac:dyDescent="0.3">
      <c r="A58" s="18"/>
      <c r="B58" s="3" t="s">
        <v>157</v>
      </c>
      <c r="C58" s="2">
        <f>'Financial Statements'!B28*1000*H45/1000000</f>
        <v>2257534.2513199998</v>
      </c>
      <c r="D58" s="2">
        <f>'Financial Statements'!C28*1000*I45/1000000</f>
        <v>2477793.8994800001</v>
      </c>
      <c r="E58" s="2">
        <f>'Financial Statements'!D28*1000*J45/1000000</f>
        <v>1968067.8679200001</v>
      </c>
    </row>
    <row r="59" spans="1:5" x14ac:dyDescent="0.3">
      <c r="A59" s="18"/>
      <c r="B59" s="27" t="s">
        <v>158</v>
      </c>
      <c r="C59">
        <f>H25</f>
        <v>120069</v>
      </c>
      <c r="D59">
        <f t="shared" ref="D59:E59" si="12">I25</f>
        <v>124719</v>
      </c>
      <c r="E59">
        <f t="shared" si="12"/>
        <v>112436</v>
      </c>
    </row>
    <row r="60" spans="1:5" x14ac:dyDescent="0.3">
      <c r="A60" s="18"/>
      <c r="B60" s="27" t="s">
        <v>159</v>
      </c>
      <c r="C60">
        <f>-'Financial Statements'!B36</f>
        <v>-23646</v>
      </c>
      <c r="D60">
        <f>-'Financial Statements'!C36</f>
        <v>-34940</v>
      </c>
      <c r="E60">
        <f>-'Financial Statements'!D36</f>
        <v>-38016</v>
      </c>
    </row>
    <row r="61" spans="1:5" x14ac:dyDescent="0.3">
      <c r="B61" s="27" t="s">
        <v>160</v>
      </c>
      <c r="C61">
        <f>-'Financial Statements'!B37-'Financial Statements'!B44</f>
        <v>-145463</v>
      </c>
      <c r="D61">
        <f>-'Financial Statements'!C37-'Financial Statements'!C44</f>
        <v>-155576</v>
      </c>
      <c r="E61">
        <f>-'Financial Statements'!D37-'Financial Statements'!D44</f>
        <v>-153814</v>
      </c>
    </row>
    <row r="63" spans="1:5" x14ac:dyDescent="0.3">
      <c r="A63" s="23">
        <v>6</v>
      </c>
      <c r="B63" t="s">
        <v>154</v>
      </c>
    </row>
    <row r="64" spans="1:5" x14ac:dyDescent="0.3">
      <c r="A64" s="23">
        <v>6.01</v>
      </c>
      <c r="B64" t="str">
        <f>'Financial Statements'!A8</f>
        <v>Total net sales</v>
      </c>
      <c r="C64" s="24">
        <f>('Financial Statements'!B8-'Financial Statements'!C8)/'Financial Statements'!C8</f>
        <v>7.7937876041846058E-2</v>
      </c>
      <c r="D64" s="24">
        <f>('Financial Statements'!C8-'Financial Statements'!D8)/'Financial Statements'!D8</f>
        <v>0.33259384733074693</v>
      </c>
      <c r="E64" s="24">
        <f>('Financial Statements'!D8-'Financial Statements'!E8)/'Financial Statements'!E8</f>
        <v>5.5120803769784836E-2</v>
      </c>
    </row>
    <row r="65" spans="1:5" x14ac:dyDescent="0.3">
      <c r="A65" s="23">
        <f>A64+0.01</f>
        <v>6.02</v>
      </c>
      <c r="B65" s="3" t="str">
        <f>'Financial Statements'!A6</f>
        <v>Products</v>
      </c>
      <c r="C65" s="24">
        <f>('Financial Statements'!B6-'Financial Statements'!C6)/'Financial Statements'!C6</f>
        <v>6.3239764351428418E-2</v>
      </c>
      <c r="D65" s="24">
        <f>('Financial Statements'!C6-'Financial Statements'!D6)/'Financial Statements'!D6</f>
        <v>0.34720743656765435</v>
      </c>
      <c r="E65" s="24">
        <f>('Financial Statements'!D6-'Financial Statements'!E6)/'Financial Statements'!E6</f>
        <v>3.2092312151970941E-2</v>
      </c>
    </row>
    <row r="66" spans="1:5" x14ac:dyDescent="0.3">
      <c r="A66" s="23">
        <f t="shared" ref="A66:A77" si="13">A65+0.01</f>
        <v>6.0299999999999994</v>
      </c>
      <c r="B66" s="3" t="str">
        <f>'Financial Statements'!A7</f>
        <v>Services</v>
      </c>
      <c r="C66" s="24">
        <f>('Financial Statements'!B7-'Financial Statements'!C7)/'Financial Statements'!C7</f>
        <v>0.14181951041286078</v>
      </c>
      <c r="D66" s="24">
        <f>('Financial Statements'!C7-'Financial Statements'!D7)/'Financial Statements'!D7</f>
        <v>0.27259708376729652</v>
      </c>
      <c r="E66" s="24">
        <f>('Financial Statements'!D7-'Financial Statements'!E7)/'Financial Statements'!E7</f>
        <v>0.16152167807997234</v>
      </c>
    </row>
    <row r="67" spans="1:5" x14ac:dyDescent="0.3">
      <c r="A67" s="23">
        <f t="shared" si="13"/>
        <v>6.0399999999999991</v>
      </c>
      <c r="B67" t="s">
        <v>155</v>
      </c>
      <c r="C67" s="24">
        <f>('Financial Statements'!B13-'Financial Statements'!C13)/'Financial Statements'!C13</f>
        <v>0.11741997958596143</v>
      </c>
      <c r="D67" s="24">
        <f>('Financial Statements'!C13-'Financial Statements'!D13)/'Financial Statements'!D13</f>
        <v>0.45619116582186819</v>
      </c>
      <c r="E67" s="24">
        <f>('Financial Statements'!D13-'Financial Statements'!E13)/'Financial Statements'!E13</f>
        <v>6.6712740873241722E-2</v>
      </c>
    </row>
    <row r="68" spans="1:5" x14ac:dyDescent="0.3">
      <c r="A68" s="23">
        <f t="shared" si="13"/>
        <v>6.0499999999999989</v>
      </c>
      <c r="B68" t="str">
        <f>'Financial Statements'!A15</f>
        <v>Research and development</v>
      </c>
      <c r="C68" s="24">
        <f>('Financial Statements'!B15-'Financial Statements'!C15)/'Financial Statements'!C15</f>
        <v>0.19791001186456147</v>
      </c>
      <c r="D68" s="24">
        <f>('Financial Statements'!C15-'Financial Statements'!D15)/'Financial Statements'!D15</f>
        <v>0.16862201365187712</v>
      </c>
      <c r="E68" s="24">
        <f>('Financial Statements'!D15-'Financial Statements'!E15)/'Financial Statements'!E15</f>
        <v>0.15631744465684158</v>
      </c>
    </row>
    <row r="69" spans="1:5" x14ac:dyDescent="0.3">
      <c r="A69" s="23">
        <f t="shared" si="13"/>
        <v>6.0599999999999987</v>
      </c>
      <c r="B69" t="str">
        <f>'Financial Statements'!A16</f>
        <v>Selling, general and administrative</v>
      </c>
      <c r="C69" s="24">
        <f>('Financial Statements'!B16-'Financial Statements'!C16)/'Financial Statements'!C16</f>
        <v>0.14203795567287125</v>
      </c>
      <c r="D69" s="24">
        <f>('Financial Statements'!C16-'Financial Statements'!D16)/'Financial Statements'!D16</f>
        <v>0.10328379192608958</v>
      </c>
      <c r="E69" s="24">
        <f>('Financial Statements'!D16-'Financial Statements'!E16)/'Financial Statements'!E16</f>
        <v>9.1586736092080026E-2</v>
      </c>
    </row>
    <row r="70" spans="1:5" x14ac:dyDescent="0.3">
      <c r="A70" s="23">
        <f t="shared" si="13"/>
        <v>6.0699999999999985</v>
      </c>
      <c r="B70" t="str">
        <f>'Financial Statements'!A36</f>
        <v>Cash and cash equivalents</v>
      </c>
      <c r="C70" s="24">
        <f>('Financial Statements'!B36-'Financial Statements'!C36)/'Financial Statements'!C36</f>
        <v>-0.32323983972524328</v>
      </c>
      <c r="D70" s="24">
        <f>('Financial Statements'!C36-'Financial Statements'!D36)/'Financial Statements'!D36</f>
        <v>-8.0913299663299659E-2</v>
      </c>
      <c r="E70" s="24">
        <f>('Financial Statements'!D36-'Financial Statements'!E36)/'Financial Statements'!E36</f>
        <v>-0.22168536565391861</v>
      </c>
    </row>
    <row r="71" spans="1:5" x14ac:dyDescent="0.3">
      <c r="A71" s="23">
        <f t="shared" si="13"/>
        <v>6.0799999999999983</v>
      </c>
      <c r="B71" t="str">
        <f>'Financial Statements'!A42</f>
        <v>Total current assets</v>
      </c>
      <c r="C71" s="24">
        <f>('Financial Statements'!B42-'Financial Statements'!C42)/'Financial Statements'!C42</f>
        <v>4.2199412619775131E-3</v>
      </c>
      <c r="D71" s="24">
        <f>('Financial Statements'!C42-'Financial Statements'!D42)/'Financial Statements'!D42</f>
        <v>-6.176894226687913E-2</v>
      </c>
      <c r="E71" s="24">
        <f>('Financial Statements'!D42-'Financial Statements'!E42)/'Financial Statements'!E42</f>
        <v>-0.11734502730025366</v>
      </c>
    </row>
    <row r="72" spans="1:5" x14ac:dyDescent="0.3">
      <c r="A72" s="23">
        <f t="shared" si="13"/>
        <v>6.0899999999999981</v>
      </c>
      <c r="B72" t="str">
        <f>'Financial Statements'!A45</f>
        <v>Property, plant and equipment, net</v>
      </c>
      <c r="C72" s="24">
        <f>('Financial Statements'!B45-'Financial Statements'!C45)/'Financial Statements'!C45</f>
        <v>6.7875253549695744E-2</v>
      </c>
      <c r="D72" s="24">
        <f>('Financial Statements'!C45-'Financial Statements'!D45)/'Financial Statements'!D45</f>
        <v>7.2730239895555673E-2</v>
      </c>
      <c r="E72" s="24">
        <f>('Financial Statements'!D45-'Financial Statements'!E45)/'Financial Statements'!E45</f>
        <v>-1.6373267697576115E-2</v>
      </c>
    </row>
    <row r="73" spans="1:5" x14ac:dyDescent="0.3">
      <c r="A73" s="23">
        <f t="shared" si="13"/>
        <v>6.0999999999999979</v>
      </c>
      <c r="B73" t="str">
        <f>'Financial Statements'!A48</f>
        <v>Total assets</v>
      </c>
      <c r="C73" s="24">
        <f>('Financial Statements'!B48-'Financial Statements'!C48)/'Financial Statements'!C48</f>
        <v>4.9942735369029236E-3</v>
      </c>
      <c r="D73" s="24">
        <f>('Financial Statements'!C48-'Financial Statements'!D48)/'Financial Statements'!D48</f>
        <v>8.3714123400681711E-2</v>
      </c>
      <c r="E73" s="24">
        <f>('Financial Statements'!D48-'Financial Statements'!E48)/'Financial Statements'!E48</f>
        <v>-4.3212137683300053E-2</v>
      </c>
    </row>
    <row r="74" spans="1:5" x14ac:dyDescent="0.3">
      <c r="A74" s="23">
        <f t="shared" si="13"/>
        <v>6.1099999999999977</v>
      </c>
      <c r="B74" t="str">
        <f>'Financial Statements'!A56</f>
        <v>Total current liabilities</v>
      </c>
      <c r="C74" s="24">
        <f>('Financial Statements'!B56-'Financial Statements'!C56)/'Financial Statements'!C56</f>
        <v>0.22713398841258836</v>
      </c>
      <c r="D74" s="24">
        <f>('Financial Statements'!C56-'Financial Statements'!D56)/'Financial Statements'!D56</f>
        <v>0.19061219067860938</v>
      </c>
      <c r="E74" s="24">
        <f>('Financial Statements'!D56-'Financial Statements'!E56)/'Financial Statements'!E56</f>
        <v>-3.0836754384305416E-3</v>
      </c>
    </row>
    <row r="75" spans="1:5" x14ac:dyDescent="0.3">
      <c r="A75" s="23">
        <f t="shared" si="13"/>
        <v>6.1199999999999974</v>
      </c>
      <c r="B75" t="str">
        <f>'Financial Statements'!A59</f>
        <v>Term debt</v>
      </c>
      <c r="C75" s="24">
        <f>('Financial Statements'!B59-'Financial Statements'!C59)/'Financial Statements'!C59</f>
        <v>-9.3001301486627677E-2</v>
      </c>
      <c r="D75" s="24">
        <f>('Financial Statements'!C59-'Financial Statements'!D59)/'Financial Statements'!D59</f>
        <v>0.1058003182421681</v>
      </c>
      <c r="E75" s="24">
        <f>('Financial Statements'!D59-'Financial Statements'!E59)/'Financial Statements'!E59</f>
        <v>7.4721971091528963E-2</v>
      </c>
    </row>
    <row r="76" spans="1:5" x14ac:dyDescent="0.3">
      <c r="A76" s="23">
        <f t="shared" si="13"/>
        <v>6.1299999999999972</v>
      </c>
      <c r="B76" t="str">
        <f>'Financial Statements'!A62</f>
        <v>Total liabilities</v>
      </c>
      <c r="C76" s="24">
        <f>('Financial Statements'!B62-'Financial Statements'!C62)/'Financial Statements'!C62</f>
        <v>4.9219900525160468E-2</v>
      </c>
      <c r="D76" s="24">
        <f>('Financial Statements'!C62-'Financial Statements'!D62)/'Financial Statements'!D62</f>
        <v>0.11356841449783213</v>
      </c>
      <c r="E76" s="24">
        <f>('Financial Statements'!D62-'Financial Statements'!E62)/'Financial Statements'!E62</f>
        <v>4.2418597900237068E-2</v>
      </c>
    </row>
    <row r="77" spans="1:5" x14ac:dyDescent="0.3">
      <c r="A77" s="23">
        <f t="shared" si="13"/>
        <v>6.139999999999997</v>
      </c>
      <c r="B77" t="str">
        <f>'Financial Statements'!A68</f>
        <v>Total shareholders’ equity</v>
      </c>
      <c r="C77" s="24">
        <f>('Financial Statements'!B68-'Financial Statements'!C68)/'Financial Statements'!C68</f>
        <v>-0.19682992550324932</v>
      </c>
      <c r="D77" s="24">
        <f>('Financial Statements'!C68-'Financial Statements'!D68)/'Financial Statements'!D68</f>
        <v>-3.4420483937617659E-2</v>
      </c>
      <c r="E77" s="24">
        <f>('Financial Statements'!D68-'Financial Statements'!E68)/'Financial Statements'!E68</f>
        <v>-0.27792635487578465</v>
      </c>
    </row>
    <row r="79" spans="1:5" x14ac:dyDescent="0.3">
      <c r="A79">
        <v>7</v>
      </c>
      <c r="B79" t="s">
        <v>156</v>
      </c>
    </row>
    <row r="80" spans="1:5" x14ac:dyDescent="0.3">
      <c r="A80">
        <f>A79+0.1</f>
        <v>7.1</v>
      </c>
      <c r="B80" s="1" t="s">
        <v>146</v>
      </c>
      <c r="C80" s="24">
        <f>'Financial Statements'!B12/'Financial Statements'!B8</f>
        <v>0.56690369438639909</v>
      </c>
      <c r="D80" s="24">
        <f>'Financial Statements'!C12/'Financial Statements'!C8</f>
        <v>0.58220640374832222</v>
      </c>
      <c r="E80" s="24">
        <f>'Financial Statements'!D12/'Financial Statements'!D8</f>
        <v>0.61766752272189129</v>
      </c>
    </row>
    <row r="81" spans="1:5" x14ac:dyDescent="0.3">
      <c r="A81">
        <f t="shared" ref="A81:A85" si="14">A80+0.1</f>
        <v>7.1999999999999993</v>
      </c>
      <c r="B81" s="1" t="s">
        <v>89</v>
      </c>
      <c r="C81" s="24">
        <f>'Financial Statements'!B13/'Financial Statements'!B8</f>
        <v>0.43309630561360085</v>
      </c>
      <c r="D81" s="24">
        <f>'Financial Statements'!C13/'Financial Statements'!C8</f>
        <v>0.41779359625167778</v>
      </c>
      <c r="E81" s="24">
        <f>'Financial Statements'!D13/'Financial Statements'!D8</f>
        <v>0.38233247727810865</v>
      </c>
    </row>
    <row r="82" spans="1:5" x14ac:dyDescent="0.3">
      <c r="A82">
        <f t="shared" si="14"/>
        <v>7.2999999999999989</v>
      </c>
      <c r="B82" s="1" t="str">
        <f>B68</f>
        <v>Research and development</v>
      </c>
      <c r="C82" s="24">
        <f>'Financial Statements'!B15/'Financial Statements'!B8</f>
        <v>6.657148363798665E-2</v>
      </c>
      <c r="D82" s="24">
        <f>'Financial Statements'!C15/'Financial Statements'!C8</f>
        <v>5.9904269074427925E-2</v>
      </c>
      <c r="E82" s="24">
        <f>'Financial Statements'!D15/'Financial Statements'!D8</f>
        <v>6.8309564140393061E-2</v>
      </c>
    </row>
    <row r="83" spans="1:5" x14ac:dyDescent="0.3">
      <c r="A83">
        <f t="shared" si="14"/>
        <v>7.3999999999999986</v>
      </c>
      <c r="B83" s="1" t="str">
        <f>B69</f>
        <v>Selling, general and administrative</v>
      </c>
      <c r="C83" s="24">
        <f>'Financial Statements'!B16/'Financial Statements'!B8</f>
        <v>6.3637378020328261E-2</v>
      </c>
      <c r="D83" s="24">
        <f>'Financial Statements'!C16/'Financial Statements'!C8</f>
        <v>6.006555190163388E-2</v>
      </c>
      <c r="E83" s="24">
        <f>'Financial Statements'!D16/'Financial Statements'!D8</f>
        <v>7.2549769593646979E-2</v>
      </c>
    </row>
    <row r="84" spans="1:5" x14ac:dyDescent="0.3">
      <c r="A84">
        <f t="shared" si="14"/>
        <v>7.4999999999999982</v>
      </c>
      <c r="B84" s="1" t="s">
        <v>14</v>
      </c>
      <c r="C84" s="24">
        <f>'Financial Statements'!B18/'Financial Statements'!B8</f>
        <v>0.30288744395528594</v>
      </c>
      <c r="D84" s="24">
        <f>'Financial Statements'!C18/'Financial Statements'!C8</f>
        <v>0.29782377527561593</v>
      </c>
      <c r="E84" s="24">
        <f>'Financial Statements'!D18/'Financial Statements'!D8</f>
        <v>0.24147314354406862</v>
      </c>
    </row>
    <row r="85" spans="1:5" x14ac:dyDescent="0.3">
      <c r="A85">
        <f t="shared" si="14"/>
        <v>7.5999999999999979</v>
      </c>
      <c r="B85" s="1" t="s">
        <v>93</v>
      </c>
      <c r="C85" s="24">
        <f>'Financial Statements'!B22/'Financial Statements'!B8</f>
        <v>0.25309640705199732</v>
      </c>
      <c r="D85" s="24">
        <f>'Financial Statements'!C22/'Financial Statements'!C8</f>
        <v>0.25881793355694238</v>
      </c>
      <c r="E85" s="24">
        <f>'Financial Statements'!D22/'Financial Statements'!D8</f>
        <v>0.20913611278072236</v>
      </c>
    </row>
    <row r="88" spans="1:5" x14ac:dyDescent="0.3">
      <c r="A88">
        <v>8</v>
      </c>
      <c r="B88" s="1" t="s">
        <v>94</v>
      </c>
      <c r="C88" s="24">
        <f>'Financial Statements'!B21/'Financial Statements'!B20</f>
        <v>0.16204461684424407</v>
      </c>
      <c r="D88" s="24">
        <f>'Financial Statements'!C21/'Financial Statements'!C20</f>
        <v>0.13302260844085087</v>
      </c>
      <c r="E88" s="24">
        <f>'Financial Statements'!D21/'Financial Statements'!D20</f>
        <v>0.14428164731484103</v>
      </c>
    </row>
    <row r="89" spans="1:5" x14ac:dyDescent="0.3">
      <c r="A89">
        <v>9</v>
      </c>
      <c r="B89" s="1" t="s">
        <v>95</v>
      </c>
      <c r="C89" s="24">
        <f>-('Financial Statements'!B96)/'Financial Statements'!B8</f>
        <v>2.7155058732831552E-2</v>
      </c>
      <c r="D89" s="24">
        <f>-('Financial Statements'!C96)/'Financial Statements'!C8</f>
        <v>3.0302036264033657E-2</v>
      </c>
      <c r="E89" s="24">
        <f>-('Financial Statements'!D96)/'Financial Statements'!D8</f>
        <v>2.6625138881299748E-2</v>
      </c>
    </row>
    <row r="90" spans="1:5" x14ac:dyDescent="0.3">
      <c r="A90">
        <v>10</v>
      </c>
      <c r="B90" s="1" t="s">
        <v>96</v>
      </c>
      <c r="C90" s="24">
        <f>-'Financial Statements'!B96/'Financial Statements'!B45</f>
        <v>0.25424412944891611</v>
      </c>
      <c r="D90" s="24">
        <f>-'Financial Statements'!C96/'Financial Statements'!C45</f>
        <v>0.28105983772819471</v>
      </c>
      <c r="E90" s="24">
        <f>-'Financial Statements'!D96/'Financial Statements'!D45</f>
        <v>0.19879780231735844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JAIN Tanish</cp:lastModifiedBy>
  <dcterms:created xsi:type="dcterms:W3CDTF">2020-05-18T16:32:37Z</dcterms:created>
  <dcterms:modified xsi:type="dcterms:W3CDTF">2024-02-20T13:11:16Z</dcterms:modified>
</cp:coreProperties>
</file>