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jaint\Desktop\Internship\"/>
    </mc:Choice>
  </mc:AlternateContent>
  <xr:revisionPtr revIDLastSave="0" documentId="13_ncr:1_{1443EE98-5EC4-42BE-BFDE-9F73875D4B4B}" xr6:coauthVersionLast="47" xr6:coauthVersionMax="47" xr10:uidLastSave="{00000000-0000-0000-0000-000000000000}"/>
  <bookViews>
    <workbookView xWindow="-108" yWindow="-108" windowWidth="23256" windowHeight="12456" xr2:uid="{00000000-000D-0000-FFFF-FFFF00000000}"/>
  </bookViews>
  <sheets>
    <sheet name="Instructions" sheetId="1" r:id="rId1"/>
    <sheet name="Financial Statements" sheetId="2" r:id="rId2"/>
    <sheet name="List of Ratios" sheetId="3" r:id="rId3"/>
    <sheet name="Charts" sheetId="4"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4" i="3" l="1"/>
  <c r="F45" i="3"/>
  <c r="F46" i="3"/>
  <c r="F53" i="3"/>
  <c r="F52" i="3"/>
  <c r="F42" i="3"/>
  <c r="F41" i="3"/>
  <c r="F40" i="3"/>
  <c r="F39" i="3"/>
  <c r="F31" i="3"/>
  <c r="F30" i="3"/>
  <c r="F29" i="3"/>
  <c r="F28" i="3"/>
  <c r="F27" i="3"/>
  <c r="F26" i="3"/>
  <c r="F25" i="3"/>
  <c r="F22" i="3"/>
  <c r="F21" i="3"/>
  <c r="F19" i="3"/>
  <c r="F17" i="3"/>
  <c r="F6" i="3"/>
  <c r="F7" i="3"/>
  <c r="F8" i="3"/>
  <c r="F9" i="3"/>
  <c r="F10" i="3"/>
  <c r="F11" i="3"/>
  <c r="F12" i="3"/>
  <c r="F13" i="3"/>
  <c r="F14" i="3"/>
  <c r="F5" i="3"/>
  <c r="I58" i="3"/>
  <c r="H58" i="3"/>
  <c r="H56" i="3" s="1"/>
  <c r="G58" i="3"/>
  <c r="G56" i="3" s="1"/>
  <c r="E58" i="3"/>
  <c r="D58" i="3"/>
  <c r="I48" i="3"/>
  <c r="H48" i="3"/>
  <c r="G48" i="3"/>
  <c r="E48" i="3"/>
  <c r="H47" i="3"/>
  <c r="D48" i="3"/>
  <c r="D47" i="3" s="1"/>
  <c r="I46" i="3"/>
  <c r="I49" i="3" s="1"/>
  <c r="H46" i="3"/>
  <c r="H45" i="3" s="1"/>
  <c r="G46" i="3"/>
  <c r="G49" i="3" s="1"/>
  <c r="E46" i="3"/>
  <c r="E49" i="3" s="1"/>
  <c r="D46" i="3"/>
  <c r="D45" i="3" s="1"/>
  <c r="I60" i="3"/>
  <c r="H60" i="3"/>
  <c r="G60" i="3"/>
  <c r="E60" i="3"/>
  <c r="D60" i="3"/>
  <c r="C60" i="3"/>
  <c r="I62" i="3"/>
  <c r="H62" i="3"/>
  <c r="G62" i="3"/>
  <c r="E62" i="3"/>
  <c r="D62" i="3"/>
  <c r="C62" i="3"/>
  <c r="I61" i="3"/>
  <c r="H61" i="3"/>
  <c r="G61" i="3"/>
  <c r="E61" i="3"/>
  <c r="D61" i="3"/>
  <c r="C61" i="3"/>
  <c r="I59" i="3"/>
  <c r="H59" i="3"/>
  <c r="G59" i="3"/>
  <c r="E59" i="3"/>
  <c r="D59" i="3"/>
  <c r="C59" i="3"/>
  <c r="C58" i="3"/>
  <c r="C56" i="3" s="1"/>
  <c r="D54" i="3"/>
  <c r="I53" i="3"/>
  <c r="H53" i="3"/>
  <c r="G53" i="3"/>
  <c r="E53" i="3"/>
  <c r="D53" i="3"/>
  <c r="C53" i="3"/>
  <c r="I52" i="3"/>
  <c r="H52" i="3"/>
  <c r="G52" i="3"/>
  <c r="E52" i="3"/>
  <c r="D52" i="3"/>
  <c r="C52" i="3"/>
  <c r="I51" i="3"/>
  <c r="H51" i="3"/>
  <c r="G51" i="3"/>
  <c r="E51" i="3"/>
  <c r="D51" i="3"/>
  <c r="C51" i="3"/>
  <c r="I47" i="3"/>
  <c r="G47" i="3"/>
  <c r="E47" i="3"/>
  <c r="C48" i="3"/>
  <c r="C47" i="3" s="1"/>
  <c r="C46" i="3"/>
  <c r="I42" i="3"/>
  <c r="I54" i="3" s="1"/>
  <c r="H42" i="3"/>
  <c r="H54" i="3" s="1"/>
  <c r="G42" i="3"/>
  <c r="G54" i="3" s="1"/>
  <c r="E42" i="3"/>
  <c r="E54" i="3" s="1"/>
  <c r="D42" i="3"/>
  <c r="C42" i="3"/>
  <c r="C54" i="3" s="1"/>
  <c r="E41" i="3"/>
  <c r="D40" i="3"/>
  <c r="Q41" i="3"/>
  <c r="I41" i="3" s="1"/>
  <c r="P41" i="3"/>
  <c r="H41" i="3" s="1"/>
  <c r="O41" i="3"/>
  <c r="G41" i="3" s="1"/>
  <c r="N41" i="3"/>
  <c r="M41" i="3"/>
  <c r="D41" i="3" s="1"/>
  <c r="L41" i="3"/>
  <c r="C41" i="3" s="1"/>
  <c r="Q40" i="3"/>
  <c r="I40" i="3" s="1"/>
  <c r="P40" i="3"/>
  <c r="H40" i="3" s="1"/>
  <c r="O40" i="3"/>
  <c r="G40" i="3" s="1"/>
  <c r="N40" i="3"/>
  <c r="E40" i="3" s="1"/>
  <c r="M40" i="3"/>
  <c r="L40" i="3"/>
  <c r="C40" i="3" s="1"/>
  <c r="Q39" i="3"/>
  <c r="I39" i="3" s="1"/>
  <c r="P39" i="3"/>
  <c r="H39" i="3" s="1"/>
  <c r="O39" i="3"/>
  <c r="G39" i="3" s="1"/>
  <c r="N39" i="3"/>
  <c r="E39" i="3" s="1"/>
  <c r="M39" i="3"/>
  <c r="D39" i="3" s="1"/>
  <c r="L39" i="3"/>
  <c r="C39" i="3" s="1"/>
  <c r="E56" i="3" l="1"/>
  <c r="I56" i="3"/>
  <c r="D56" i="3"/>
  <c r="H49" i="3"/>
  <c r="G45" i="3"/>
  <c r="E45" i="3"/>
  <c r="C49" i="3"/>
  <c r="I45" i="3"/>
  <c r="D49" i="3"/>
  <c r="I35" i="3" l="1"/>
  <c r="H35" i="3"/>
  <c r="G35" i="3"/>
  <c r="E35" i="3"/>
  <c r="D35" i="3"/>
  <c r="C35" i="3"/>
  <c r="I36" i="3"/>
  <c r="H36" i="3"/>
  <c r="G36" i="3"/>
  <c r="E36" i="3"/>
  <c r="D36" i="3"/>
  <c r="I34" i="3"/>
  <c r="H34" i="3"/>
  <c r="G34" i="3"/>
  <c r="E34" i="3"/>
  <c r="D34" i="3"/>
  <c r="I33" i="3"/>
  <c r="I31" i="3" s="1"/>
  <c r="I30" i="3" s="1"/>
  <c r="H33" i="3"/>
  <c r="H31" i="3" s="1"/>
  <c r="H30" i="3" s="1"/>
  <c r="G33" i="3"/>
  <c r="E33" i="3"/>
  <c r="D33" i="3"/>
  <c r="D31" i="3" s="1"/>
  <c r="D30" i="3" s="1"/>
  <c r="C36" i="3"/>
  <c r="C34" i="3"/>
  <c r="C33" i="3"/>
  <c r="I29" i="3"/>
  <c r="H29" i="3"/>
  <c r="G29" i="3"/>
  <c r="E29" i="3"/>
  <c r="D29" i="3"/>
  <c r="C29" i="3"/>
  <c r="I28" i="3"/>
  <c r="H28" i="3"/>
  <c r="G28" i="3"/>
  <c r="E28" i="3"/>
  <c r="D28" i="3"/>
  <c r="C28" i="3"/>
  <c r="I27" i="3"/>
  <c r="H27" i="3"/>
  <c r="G27" i="3"/>
  <c r="E27" i="3"/>
  <c r="D27" i="3"/>
  <c r="C27" i="3"/>
  <c r="I26" i="3"/>
  <c r="H26" i="3"/>
  <c r="G26" i="3"/>
  <c r="E26" i="3"/>
  <c r="D26" i="3"/>
  <c r="C26" i="3"/>
  <c r="I25" i="3"/>
  <c r="H25" i="3"/>
  <c r="G25" i="3"/>
  <c r="E25" i="3"/>
  <c r="D25" i="3"/>
  <c r="C25" i="3"/>
  <c r="I22" i="3"/>
  <c r="H22" i="3"/>
  <c r="G22" i="3"/>
  <c r="E22" i="3"/>
  <c r="D22" i="3"/>
  <c r="C22" i="3"/>
  <c r="I21" i="3"/>
  <c r="I20" i="3" s="1"/>
  <c r="H21" i="3"/>
  <c r="H20" i="3" s="1"/>
  <c r="G21" i="3"/>
  <c r="G20" i="3" s="1"/>
  <c r="F20" i="3" s="1"/>
  <c r="E21" i="3"/>
  <c r="E20" i="3" s="1"/>
  <c r="D21" i="3"/>
  <c r="D20" i="3" s="1"/>
  <c r="C21" i="3"/>
  <c r="C20" i="3" s="1"/>
  <c r="I19" i="3"/>
  <c r="I18" i="3" s="1"/>
  <c r="H19" i="3"/>
  <c r="G19" i="3"/>
  <c r="E19" i="3"/>
  <c r="E18" i="3" s="1"/>
  <c r="D19" i="3"/>
  <c r="D18" i="3" s="1"/>
  <c r="C19" i="3"/>
  <c r="I17" i="3"/>
  <c r="H17" i="3"/>
  <c r="G17" i="3"/>
  <c r="E17" i="3"/>
  <c r="D17" i="3"/>
  <c r="C17" i="3"/>
  <c r="C14" i="3"/>
  <c r="C13" i="3" s="1"/>
  <c r="D14" i="3"/>
  <c r="D13" i="3" s="1"/>
  <c r="E14" i="3"/>
  <c r="E13" i="3" s="1"/>
  <c r="G14" i="3"/>
  <c r="G13" i="3" s="1"/>
  <c r="H14" i="3"/>
  <c r="H13" i="3" s="1"/>
  <c r="I14" i="3"/>
  <c r="I13" i="3" s="1"/>
  <c r="Q11" i="3"/>
  <c r="I11" i="3" s="1"/>
  <c r="P11" i="3"/>
  <c r="H11" i="3" s="1"/>
  <c r="O11" i="3"/>
  <c r="G11" i="3" s="1"/>
  <c r="N11" i="3"/>
  <c r="E11" i="3" s="1"/>
  <c r="M11" i="3"/>
  <c r="D11" i="3" s="1"/>
  <c r="L11" i="3"/>
  <c r="C11" i="3" s="1"/>
  <c r="Q10" i="3"/>
  <c r="I10" i="3" s="1"/>
  <c r="P10" i="3"/>
  <c r="H10" i="3" s="1"/>
  <c r="O10" i="3"/>
  <c r="G10" i="3" s="1"/>
  <c r="N10" i="3"/>
  <c r="E10" i="3" s="1"/>
  <c r="M10" i="3"/>
  <c r="D10" i="3" s="1"/>
  <c r="L10" i="3"/>
  <c r="C10" i="3" s="1"/>
  <c r="Q9" i="3"/>
  <c r="I9" i="3" s="1"/>
  <c r="P9" i="3"/>
  <c r="H9" i="3" s="1"/>
  <c r="O9" i="3"/>
  <c r="G9" i="3" s="1"/>
  <c r="N9" i="3"/>
  <c r="E9" i="3" s="1"/>
  <c r="M9" i="3"/>
  <c r="D9" i="3" s="1"/>
  <c r="L9" i="3"/>
  <c r="C9" i="3" s="1"/>
  <c r="I8" i="3"/>
  <c r="H8" i="3"/>
  <c r="G8" i="3"/>
  <c r="E8" i="3"/>
  <c r="D8" i="3"/>
  <c r="C8" i="3"/>
  <c r="I7" i="3"/>
  <c r="H7" i="3"/>
  <c r="G7" i="3"/>
  <c r="E7" i="3"/>
  <c r="D7" i="3"/>
  <c r="C7" i="3"/>
  <c r="I6" i="3"/>
  <c r="H6" i="3"/>
  <c r="G6" i="3"/>
  <c r="E6" i="3"/>
  <c r="D6" i="3"/>
  <c r="C6" i="3"/>
  <c r="G18" i="3" l="1"/>
  <c r="F18" i="3" s="1"/>
  <c r="G55" i="3"/>
  <c r="H18" i="3"/>
  <c r="H55" i="3"/>
  <c r="E31" i="3"/>
  <c r="E30" i="3" s="1"/>
  <c r="G31" i="3"/>
  <c r="G30" i="3" s="1"/>
  <c r="C18" i="3"/>
  <c r="C55" i="3"/>
  <c r="C31" i="3"/>
  <c r="C30" i="3" s="1"/>
  <c r="E55" i="3"/>
  <c r="I55" i="3"/>
  <c r="D55" i="3"/>
  <c r="C12" i="3"/>
  <c r="D12" i="3"/>
  <c r="H12" i="3"/>
  <c r="I12" i="3"/>
  <c r="E12" i="3"/>
  <c r="G12" i="3"/>
  <c r="I5" i="3" l="1"/>
  <c r="H5" i="3"/>
  <c r="G5" i="3"/>
  <c r="E5" i="3"/>
  <c r="D5" i="3"/>
  <c r="C5" i="3"/>
  <c r="E3" i="3"/>
  <c r="D3" i="3"/>
  <c r="C3" i="3"/>
  <c r="B1" i="3"/>
  <c r="B73" i="2"/>
  <c r="B72" i="2"/>
  <c r="G112" i="2"/>
  <c r="F112" i="2"/>
  <c r="E112" i="2"/>
  <c r="D112" i="2"/>
  <c r="B112" i="2"/>
  <c r="C112" i="2"/>
  <c r="C103" i="2"/>
  <c r="B103" i="2"/>
  <c r="C96" i="2"/>
  <c r="B96" i="2"/>
  <c r="B114" i="2" s="1"/>
  <c r="B115" i="2" s="1"/>
  <c r="C72" i="2"/>
  <c r="B63" i="2"/>
  <c r="C63" i="2"/>
  <c r="C58" i="2"/>
  <c r="B58" i="2"/>
  <c r="B50" i="2"/>
  <c r="C50" i="2"/>
  <c r="C43" i="2"/>
  <c r="B43" i="2"/>
  <c r="B21" i="2"/>
  <c r="C21" i="2"/>
  <c r="C8" i="2"/>
  <c r="C16" i="2"/>
  <c r="B16" i="2"/>
  <c r="B8" i="2"/>
  <c r="B17" i="2" s="1"/>
  <c r="B22" i="2" s="1"/>
  <c r="B25" i="2" s="1"/>
  <c r="D72" i="2"/>
  <c r="D63" i="2"/>
  <c r="D58" i="2"/>
  <c r="D50" i="2"/>
  <c r="D43" i="2"/>
  <c r="D103" i="2"/>
  <c r="D96" i="2"/>
  <c r="D21" i="2"/>
  <c r="D16" i="2"/>
  <c r="D8" i="2"/>
  <c r="H72" i="2"/>
  <c r="H63" i="2"/>
  <c r="H58" i="2"/>
  <c r="H50" i="2"/>
  <c r="H43" i="2"/>
  <c r="G72" i="2"/>
  <c r="H21" i="2"/>
  <c r="H16" i="2"/>
  <c r="H8" i="2"/>
  <c r="G16" i="2"/>
  <c r="F16" i="2"/>
  <c r="E16" i="2"/>
  <c r="G103" i="2"/>
  <c r="F103" i="2"/>
  <c r="E103" i="2"/>
  <c r="G96" i="2"/>
  <c r="F96" i="2"/>
  <c r="E96" i="2"/>
  <c r="C51" i="2" l="1"/>
  <c r="D51" i="2"/>
  <c r="C73" i="2"/>
  <c r="B51" i="2"/>
  <c r="D114" i="2"/>
  <c r="D115" i="2" s="1"/>
  <c r="C114" i="2"/>
  <c r="C115" i="2" s="1"/>
  <c r="D73" i="2"/>
  <c r="H17" i="2"/>
  <c r="C17" i="2"/>
  <c r="C22" i="2" s="1"/>
  <c r="C25" i="2" s="1"/>
  <c r="H22" i="2"/>
  <c r="H25" i="2" s="1"/>
  <c r="D17" i="2"/>
  <c r="D22" i="2" s="1"/>
  <c r="D25" i="2" s="1"/>
  <c r="H51" i="2"/>
  <c r="H73" i="2"/>
  <c r="F114" i="2"/>
  <c r="F115" i="2" s="1"/>
  <c r="G114" i="2"/>
  <c r="G115" i="2" s="1"/>
  <c r="E114" i="2"/>
  <c r="E115" i="2" s="1"/>
  <c r="F72" i="2" l="1"/>
  <c r="E72" i="2"/>
  <c r="G63" i="2" l="1"/>
  <c r="F63" i="2"/>
  <c r="E63" i="2"/>
  <c r="G58" i="2"/>
  <c r="F58" i="2"/>
  <c r="E58" i="2"/>
  <c r="G50" i="2"/>
  <c r="F50" i="2"/>
  <c r="E50" i="2"/>
  <c r="G43" i="2"/>
  <c r="F43" i="2"/>
  <c r="E43" i="2"/>
  <c r="G21" i="2"/>
  <c r="F21" i="2"/>
  <c r="E21" i="2"/>
  <c r="G73" i="2" l="1"/>
  <c r="F73" i="2"/>
  <c r="E73" i="2"/>
  <c r="G51" i="2"/>
  <c r="F51" i="2"/>
  <c r="E51" i="2"/>
  <c r="G8" i="2"/>
  <c r="G17" i="2" s="1"/>
  <c r="F8" i="2"/>
  <c r="F17" i="2" s="1"/>
  <c r="E8" i="2"/>
  <c r="E17" i="2" s="1"/>
  <c r="A52" i="3"/>
  <c r="A54" i="3" s="1"/>
  <c r="A16" i="3"/>
  <c r="A24" i="3" s="1"/>
  <c r="A5" i="3"/>
  <c r="A6" i="3" s="1"/>
  <c r="A7" i="3" s="1"/>
  <c r="A8" i="3" s="1"/>
  <c r="A9" i="3" s="1"/>
  <c r="A10" i="3" s="1"/>
  <c r="A11" i="3" s="1"/>
  <c r="A12" i="3" s="1"/>
  <c r="A13" i="3" s="1"/>
  <c r="G22" i="2" l="1"/>
  <c r="G25" i="2" s="1"/>
  <c r="F22" i="2"/>
  <c r="F25" i="2" s="1"/>
  <c r="E22" i="2"/>
  <c r="E25" i="2" s="1"/>
  <c r="A38" i="3"/>
  <c r="A25" i="3"/>
  <c r="A26" i="3" s="1"/>
  <c r="A27" i="3" s="1"/>
  <c r="A28" i="3" s="1"/>
  <c r="A29" i="3" s="1"/>
  <c r="A30" i="3" s="1"/>
  <c r="A17" i="3"/>
  <c r="A18" i="3" s="1"/>
  <c r="A20" i="3" s="1"/>
  <c r="A22" i="3" s="1"/>
  <c r="A39" i="3" l="1"/>
  <c r="A40" i="3" s="1"/>
  <c r="A41" i="3" s="1"/>
  <c r="A42" i="3" s="1"/>
  <c r="A44" i="3"/>
  <c r="A45" i="3" s="1"/>
  <c r="A46" i="3" s="1"/>
  <c r="A47" i="3" s="1"/>
  <c r="A48" i="3" s="1"/>
  <c r="A49" i="3" s="1"/>
  <c r="A51" i="3" s="1"/>
  <c r="A53" i="3" s="1"/>
  <c r="A55" i="3" s="1"/>
</calcChain>
</file>

<file path=xl/sharedStrings.xml><?xml version="1.0" encoding="utf-8"?>
<sst xmlns="http://schemas.openxmlformats.org/spreadsheetml/2006/main" count="215" uniqueCount="178">
  <si>
    <t>Instructions</t>
  </si>
  <si>
    <t>https://ir.aboutamazon.com/annual-reports-proxies-and-shareholder-letters/default.aspx</t>
  </si>
  <si>
    <t>You are required write up a 1-2 page report commenting on the financial health of Amazon Inc. based on the ratios you have calculated, addressing the five key topics mentioned in the ratios tab.</t>
  </si>
  <si>
    <t>Formats:</t>
  </si>
  <si>
    <t>However make sure you have covered the five key topics in the ratio analysis</t>
  </si>
  <si>
    <t>Please refer to the below website in order to download the company financial statements:</t>
  </si>
  <si>
    <t>You are free to use any additional publicly available information/ news articles whilst mentioning the sources at the end page</t>
  </si>
  <si>
    <t>The report should be submitted as a word document</t>
  </si>
  <si>
    <t>The supporting calculations should be submitted in excel document as same as the previous task.</t>
  </si>
  <si>
    <t>CONSOLIDATED STATEMENTS OF OPERATIONS</t>
  </si>
  <si>
    <t>Gross margin</t>
  </si>
  <si>
    <t>CONSOLIDATED BALANCE SHEETS</t>
  </si>
  <si>
    <t>CONSOLIDATED STATEMENTS OF CASH FLOWS</t>
  </si>
  <si>
    <t>Liquidity</t>
  </si>
  <si>
    <t>Current ratio</t>
  </si>
  <si>
    <t>Quick Ratio</t>
  </si>
  <si>
    <t>Cash Ratio</t>
  </si>
  <si>
    <t>Defensive Interval</t>
  </si>
  <si>
    <t>Inventory Days</t>
  </si>
  <si>
    <t>Payable Days</t>
  </si>
  <si>
    <t>Receivable Days</t>
  </si>
  <si>
    <t>Net trading cycle</t>
  </si>
  <si>
    <t>Working Capital as a % of Sales</t>
  </si>
  <si>
    <t>Working Capital</t>
  </si>
  <si>
    <t>Profitability</t>
  </si>
  <si>
    <t>EBITDA margin</t>
  </si>
  <si>
    <t>EBITDA</t>
  </si>
  <si>
    <t>EBIT margin</t>
  </si>
  <si>
    <t>EBIT</t>
  </si>
  <si>
    <t>Net margin</t>
  </si>
  <si>
    <t>Solvency/ debt management</t>
  </si>
  <si>
    <t>Debt to equity (D/E)</t>
  </si>
  <si>
    <t>Debt to total assets</t>
  </si>
  <si>
    <t>Long-term debt to capital</t>
  </si>
  <si>
    <t>Times interest earned</t>
  </si>
  <si>
    <t>Debt coverage</t>
  </si>
  <si>
    <t>Free cash flow (FCFE) per share</t>
  </si>
  <si>
    <t>FCFE</t>
  </si>
  <si>
    <t>Asset utilization</t>
  </si>
  <si>
    <t>Total asset turnover</t>
  </si>
  <si>
    <t>Fixed asset turnover</t>
  </si>
  <si>
    <t>Inventory turnover</t>
  </si>
  <si>
    <t>Return on assets (ROA)</t>
  </si>
  <si>
    <t>Investor/market ratios</t>
  </si>
  <si>
    <t>Price to equity (P/E)</t>
  </si>
  <si>
    <t>Earnings per share (EPS)</t>
  </si>
  <si>
    <t>Price to book value (PBV)</t>
  </si>
  <si>
    <t>Book value per share (BV)</t>
  </si>
  <si>
    <t>Dividend payout ratio</t>
  </si>
  <si>
    <t>Dividend per share</t>
  </si>
  <si>
    <t>Dividend yield</t>
  </si>
  <si>
    <t>Return on equity (ROE)</t>
  </si>
  <si>
    <t>Return on capital employed (ROCE)</t>
  </si>
  <si>
    <t>Enterprise value to EBITDA (EV/EBITDA)</t>
  </si>
  <si>
    <t>Enterprise value (EV)</t>
  </si>
  <si>
    <t xml:space="preserve">Years ended </t>
  </si>
  <si>
    <t xml:space="preserve">As at </t>
  </si>
  <si>
    <t>Years ended ,</t>
  </si>
  <si>
    <t>Please input the three financial statements in the format from previous task, attached here in the second tab</t>
  </si>
  <si>
    <t>Perform the calculations on tab three similar to previous task.</t>
  </si>
  <si>
    <t>Perform a management report, analyzing the financial health of Amazon Inc. based on its recent two annual reports (2022 &amp; 2021).</t>
  </si>
  <si>
    <t>Net product sales</t>
  </si>
  <si>
    <t>Net service sales</t>
  </si>
  <si>
    <t>Total net sales</t>
  </si>
  <si>
    <t>Operating expenses:</t>
  </si>
  <si>
    <t>Cost of sales</t>
  </si>
  <si>
    <t>Fulfillment</t>
  </si>
  <si>
    <t>Technology and content</t>
  </si>
  <si>
    <t>Marketing</t>
  </si>
  <si>
    <t>General and administrative</t>
  </si>
  <si>
    <t>Other operating expense (income), net</t>
  </si>
  <si>
    <t>Total operating expenses</t>
  </si>
  <si>
    <t>Operating income</t>
  </si>
  <si>
    <t>Amazon Inc</t>
  </si>
  <si>
    <t>(in millions, except per share data)</t>
  </si>
  <si>
    <t>Interest income</t>
  </si>
  <si>
    <t>Interest expense</t>
  </si>
  <si>
    <t>Other income (expense), net</t>
  </si>
  <si>
    <t>Total non-operating income (expense)</t>
  </si>
  <si>
    <t>Income before income taxes</t>
  </si>
  <si>
    <t>Provision for income taxes</t>
  </si>
  <si>
    <t>Equity-method investment activity, net of tax</t>
  </si>
  <si>
    <t>Net income</t>
  </si>
  <si>
    <t>Basic earnings per share</t>
  </si>
  <si>
    <t>Diluted earnings per share</t>
  </si>
  <si>
    <t>Basic</t>
  </si>
  <si>
    <t>Diluted</t>
  </si>
  <si>
    <t>Weighted-average shares used in computation of earnings per share:</t>
  </si>
  <si>
    <t>ASSETS</t>
  </si>
  <si>
    <t>Current assets:</t>
  </si>
  <si>
    <t>Cash and cash equivalents</t>
  </si>
  <si>
    <t>Marketable securities</t>
  </si>
  <si>
    <t>Inventories</t>
  </si>
  <si>
    <t>Accounts receivable, net and other</t>
  </si>
  <si>
    <t>Total current assets</t>
  </si>
  <si>
    <t>Property and equipment, net</t>
  </si>
  <si>
    <t>Operating leases</t>
  </si>
  <si>
    <t>Goodwill</t>
  </si>
  <si>
    <t>Other assets</t>
  </si>
  <si>
    <t>Total non current assets</t>
  </si>
  <si>
    <t>Total assets</t>
  </si>
  <si>
    <t>LIABILITIES AND STOCKHOLDERS' EQUITY</t>
  </si>
  <si>
    <t>Current liabilities:</t>
  </si>
  <si>
    <t>Accounts payable</t>
  </si>
  <si>
    <t>Accrued expenses and other</t>
  </si>
  <si>
    <t>Unearned revenue</t>
  </si>
  <si>
    <t>Total current liabilities</t>
  </si>
  <si>
    <t>Long-term lease liabilities</t>
  </si>
  <si>
    <t>Long-term debt</t>
  </si>
  <si>
    <t>Other long-term liabilities</t>
  </si>
  <si>
    <t>Total non current liabilities</t>
  </si>
  <si>
    <t>Stockholders' equity:</t>
  </si>
  <si>
    <t>Treasury stock, at cost</t>
  </si>
  <si>
    <t>Additional paid-in capital</t>
  </si>
  <si>
    <t>Accumulated other comprehensive income (loss)</t>
  </si>
  <si>
    <t>Retained earnings</t>
  </si>
  <si>
    <t>Preferred stock, $0.01 par value: Authorized shares - 500 Issued and outstanding shares - none</t>
  </si>
  <si>
    <t>Common stock, $0.01 par value: Authorized shares - 5,000 Issued shares - 514 and 521 Outstanding shares - 491 and 498</t>
  </si>
  <si>
    <t>Total stockholders' equity</t>
  </si>
  <si>
    <t>Total liabilities and stockholders' equity</t>
  </si>
  <si>
    <t>CASH, CASH EQUIVALENTS, AND RESTRICTED CASH, BEGINNING OF PERIOD</t>
  </si>
  <si>
    <t>OPERATING ACTIVITIES:</t>
  </si>
  <si>
    <t>Adjustments to reconcile net income to net cash</t>
  </si>
  <si>
    <t>from operating activities:</t>
  </si>
  <si>
    <t>Stock-based compensation</t>
  </si>
  <si>
    <t>Other expense (income), net</t>
  </si>
  <si>
    <t>Deferred income taxes</t>
  </si>
  <si>
    <t>Changes in operating assets and liabilities:</t>
  </si>
  <si>
    <t>Net cash provided by (used in) operating</t>
  </si>
  <si>
    <t>Depreciation and amortization of property and equipment and capitalized content costs, operating lease assets, and other</t>
  </si>
  <si>
    <t>INVESTING ACTIVITIES:</t>
  </si>
  <si>
    <t>Purchases of property and equipment</t>
  </si>
  <si>
    <t>Proceeds from property and equipment sales and incentives</t>
  </si>
  <si>
    <t>Acquisitions, net of cash acquired, and other</t>
  </si>
  <si>
    <t>Sales and maturities of marketable securities</t>
  </si>
  <si>
    <t>Purchases of marketable securities</t>
  </si>
  <si>
    <t>Net cash provided by (used in) investing activities</t>
  </si>
  <si>
    <t>FINANCING ACTIVITIES:</t>
  </si>
  <si>
    <t>Proceeds from long-term debt and other</t>
  </si>
  <si>
    <t>Repayments of long-term debt and other</t>
  </si>
  <si>
    <t>Principal repayments of finance leases</t>
  </si>
  <si>
    <t>Principal repayments of financing obligations</t>
  </si>
  <si>
    <t>Net cash provided by (used in) financing activities</t>
  </si>
  <si>
    <t>SUPPLEMENTAL CASH FLOW INFORMATION:</t>
  </si>
  <si>
    <t>Cash paid for interest on long-term debt</t>
  </si>
  <si>
    <t>Cash paid for operating leases</t>
  </si>
  <si>
    <t>Cash paid for interest on finance leases</t>
  </si>
  <si>
    <t>Cash paid for interest on financing obligations</t>
  </si>
  <si>
    <t>Cash paid for income taxes, net of refunds</t>
  </si>
  <si>
    <t>Assets acquired under operating leases</t>
  </si>
  <si>
    <t>Foreign currency effect on cash, cash equivalents, and restricted cash</t>
  </si>
  <si>
    <t>Net increase (decrease) in cash, cash equivalents, and restricted cash</t>
  </si>
  <si>
    <t>CASH, CASH EQUIVALENTS, AND RESTRICTED CASH, END OF PERIOD</t>
  </si>
  <si>
    <t>Property and equipment acquired under finance leases</t>
  </si>
  <si>
    <t>Property and equipment acquired under build-to-suit arrangements</t>
  </si>
  <si>
    <t>Non current assets</t>
  </si>
  <si>
    <t>Proceeds from short-term debt, and other</t>
  </si>
  <si>
    <t>Repayments of short-term debt, and other</t>
  </si>
  <si>
    <t>Common stock repurchased</t>
  </si>
  <si>
    <t>Common Stock Split :
On May 27, 2022, we effected a 20-for-1 stock split of our common stock and proportionately increased the number of authorized shares of common
stock. All share, restricted stock unit (“RSU”), and per share or per RSU information throughout this Annual Report on Form 10-K has been retroactively
adjusted to reflect the stock split. The shares of common stock retain a par value of $0.01 per share. Accordingly, an amount equal to the par value of the
increased shares resulting from the stock split was reclassified from “Additional paid-in capital” to “Common stock.”</t>
  </si>
  <si>
    <t>Average inventory</t>
  </si>
  <si>
    <t>Average Payable</t>
  </si>
  <si>
    <t>Average receivable</t>
  </si>
  <si>
    <t>+ Depreciation and amortization</t>
  </si>
  <si>
    <t>- Working capital changes</t>
  </si>
  <si>
    <t>- Capex</t>
  </si>
  <si>
    <t>Average assets</t>
  </si>
  <si>
    <t>Average FA</t>
  </si>
  <si>
    <t>Price as on 31 December</t>
  </si>
  <si>
    <t>Equity value</t>
  </si>
  <si>
    <t>+ Debt</t>
  </si>
  <si>
    <t>- Cash and cash equivalents</t>
  </si>
  <si>
    <t>- Marketable securities</t>
  </si>
  <si>
    <t>+ Long-term lease liabilities</t>
  </si>
  <si>
    <t>Average</t>
  </si>
  <si>
    <t>ROE</t>
  </si>
  <si>
    <t>ROCE</t>
  </si>
  <si>
    <t>ROA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</si>
</sst>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_(* #,##0.0_);_(* \(#,##0.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u/>
      <sz val="11"/>
      <color theme="10"/>
      <name val="Calibri"/>
      <family val="2"/>
      <scheme val="minor"/>
    </font>
    <font>
      <b/>
      <sz val="20"/>
      <color theme="0"/>
      <name val="Calibri"/>
      <family val="2"/>
      <scheme val="minor"/>
    </font>
    <font>
      <sz val="20"/>
      <color theme="0"/>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indexed="64"/>
      </patternFill>
    </fill>
  </fills>
  <borders count="3">
    <border>
      <left/>
      <right/>
      <top/>
      <bottom/>
      <diagonal/>
    </border>
    <border>
      <left/>
      <right/>
      <top style="thin">
        <color indexed="64"/>
      </top>
      <bottom/>
      <diagonal/>
    </border>
    <border>
      <left/>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0" fontId="5" fillId="0" borderId="0" applyNumberFormat="0" applyFill="0" applyBorder="0" applyAlignment="0" applyProtection="0"/>
    <xf numFmtId="9" fontId="1" fillId="0" borderId="0" applyFont="0" applyFill="0" applyBorder="0" applyAlignment="0" applyProtection="0"/>
  </cellStyleXfs>
  <cellXfs count="39">
    <xf numFmtId="0" fontId="0" fillId="0" borderId="0" xfId="0"/>
    <xf numFmtId="0" fontId="0" fillId="0" borderId="0" xfId="0" applyAlignment="1">
      <alignment horizontal="left" indent="1"/>
    </xf>
    <xf numFmtId="0" fontId="0" fillId="0" borderId="0" xfId="0" applyAlignment="1">
      <alignment wrapText="1"/>
    </xf>
    <xf numFmtId="0" fontId="4" fillId="2" borderId="0" xfId="0" applyFont="1" applyFill="1" applyAlignment="1">
      <alignment wrapText="1"/>
    </xf>
    <xf numFmtId="0" fontId="2" fillId="0" borderId="0" xfId="0" applyFont="1" applyAlignment="1">
      <alignment wrapText="1"/>
    </xf>
    <xf numFmtId="0" fontId="0" fillId="0" borderId="0" xfId="0" applyAlignment="1">
      <alignment horizontal="left" wrapText="1" indent="1"/>
    </xf>
    <xf numFmtId="0" fontId="5" fillId="0" borderId="0" xfId="2" applyAlignment="1">
      <alignment horizontal="left" wrapText="1" indent="1"/>
    </xf>
    <xf numFmtId="0" fontId="6" fillId="2" borderId="0" xfId="0" applyFont="1" applyFill="1" applyAlignment="1">
      <alignment vertical="center"/>
    </xf>
    <xf numFmtId="0" fontId="3" fillId="2" borderId="0" xfId="0" applyFont="1" applyFill="1"/>
    <xf numFmtId="0" fontId="2" fillId="0" borderId="0" xfId="0" applyFont="1"/>
    <xf numFmtId="164" fontId="0" fillId="0" borderId="0" xfId="1" applyNumberFormat="1" applyFont="1"/>
    <xf numFmtId="0" fontId="2" fillId="0" borderId="1" xfId="0" applyFont="1" applyBorder="1"/>
    <xf numFmtId="164" fontId="2" fillId="0" borderId="1" xfId="1" applyNumberFormat="1" applyFont="1" applyBorder="1"/>
    <xf numFmtId="0" fontId="2" fillId="0" borderId="2" xfId="0" applyFont="1" applyBorder="1"/>
    <xf numFmtId="164" fontId="2" fillId="0" borderId="2" xfId="1" applyNumberFormat="1" applyFont="1" applyBorder="1"/>
    <xf numFmtId="0" fontId="0" fillId="4" borderId="0" xfId="0" applyFill="1"/>
    <xf numFmtId="3" fontId="0" fillId="0" borderId="0" xfId="0" applyNumberFormat="1"/>
    <xf numFmtId="164" fontId="2" fillId="0" borderId="0" xfId="1" applyNumberFormat="1" applyFont="1"/>
    <xf numFmtId="0" fontId="2" fillId="0" borderId="0" xfId="0" applyFont="1" applyAlignment="1">
      <alignment horizontal="left" indent="1"/>
    </xf>
    <xf numFmtId="0" fontId="0" fillId="0" borderId="0" xfId="0" applyAlignment="1">
      <alignment horizontal="left" indent="2"/>
    </xf>
    <xf numFmtId="164" fontId="1" fillId="0" borderId="0" xfId="1" applyNumberFormat="1" applyFont="1" applyBorder="1"/>
    <xf numFmtId="164" fontId="1" fillId="0" borderId="0" xfId="1" applyNumberFormat="1" applyFont="1"/>
    <xf numFmtId="0" fontId="0" fillId="0" borderId="0" xfId="0" applyAlignment="1">
      <alignment horizontal="left"/>
    </xf>
    <xf numFmtId="0" fontId="0" fillId="0" borderId="1" xfId="0" applyBorder="1"/>
    <xf numFmtId="164" fontId="2" fillId="0" borderId="0" xfId="1" applyNumberFormat="1" applyFont="1" applyBorder="1"/>
    <xf numFmtId="9" fontId="0" fillId="0" borderId="0" xfId="3" applyFont="1" applyAlignment="1"/>
    <xf numFmtId="0" fontId="7" fillId="2" borderId="0" xfId="0" applyFont="1" applyFill="1"/>
    <xf numFmtId="165" fontId="0" fillId="0" borderId="0" xfId="0" applyNumberFormat="1"/>
    <xf numFmtId="43" fontId="0" fillId="0" borderId="0" xfId="1" applyFont="1" applyAlignment="1"/>
    <xf numFmtId="43" fontId="0" fillId="0" borderId="0" xfId="0" applyNumberFormat="1"/>
    <xf numFmtId="164" fontId="0" fillId="0" borderId="0" xfId="1" applyNumberFormat="1" applyFont="1" applyAlignment="1"/>
    <xf numFmtId="166" fontId="0" fillId="0" borderId="0" xfId="1" applyNumberFormat="1" applyFont="1" applyAlignment="1"/>
    <xf numFmtId="164" fontId="0" fillId="0" borderId="0" xfId="0" applyNumberFormat="1"/>
    <xf numFmtId="9" fontId="0" fillId="0" borderId="0" xfId="0" applyNumberFormat="1"/>
    <xf numFmtId="0" fontId="0" fillId="0" borderId="0" xfId="0" quotePrefix="1" applyAlignment="1">
      <alignment horizontal="left" indent="2"/>
    </xf>
    <xf numFmtId="9" fontId="0" fillId="0" borderId="0" xfId="3" applyFont="1"/>
    <xf numFmtId="43" fontId="0" fillId="0" borderId="0" xfId="1" applyFont="1"/>
    <xf numFmtId="0" fontId="2" fillId="0" borderId="0" xfId="0" applyFont="1" applyAlignment="1">
      <alignment horizontal="center"/>
    </xf>
    <xf numFmtId="0" fontId="2" fillId="3" borderId="0" xfId="0" applyFont="1" applyFill="1" applyAlignment="1">
      <alignment horizontal="center"/>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IN"/>
              <a:t>Fig 2.1 Profitablilty</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Charts!$B$14</c:f>
              <c:strCache>
                <c:ptCount val="1"/>
                <c:pt idx="0">
                  <c:v>2022</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Charts!$A$15:$A$18</c:f>
              <c:strCache>
                <c:ptCount val="4"/>
                <c:pt idx="0">
                  <c:v>Gross margin</c:v>
                </c:pt>
                <c:pt idx="1">
                  <c:v>EBITDA margin</c:v>
                </c:pt>
                <c:pt idx="2">
                  <c:v>EBIT margin</c:v>
                </c:pt>
                <c:pt idx="3">
                  <c:v>Net margin</c:v>
                </c:pt>
              </c:strCache>
            </c:strRef>
          </c:cat>
          <c:val>
            <c:numRef>
              <c:f>Charts!$B$15:$B$18</c:f>
              <c:numCache>
                <c:formatCode>0%</c:formatCode>
                <c:ptCount val="4"/>
                <c:pt idx="0">
                  <c:v>0.43805339865326287</c:v>
                </c:pt>
                <c:pt idx="1">
                  <c:v>0.10539064521589235</c:v>
                </c:pt>
                <c:pt idx="2">
                  <c:v>2.3829581912242232E-2</c:v>
                </c:pt>
                <c:pt idx="3">
                  <c:v>-5.2958950004183018E-3</c:v>
                </c:pt>
              </c:numCache>
            </c:numRef>
          </c:val>
          <c:extLst>
            <c:ext xmlns:c16="http://schemas.microsoft.com/office/drawing/2014/chart" uri="{C3380CC4-5D6E-409C-BE32-E72D297353CC}">
              <c16:uniqueId val="{00000000-F422-4889-AC75-FA5031D7879B}"/>
            </c:ext>
          </c:extLst>
        </c:ser>
        <c:ser>
          <c:idx val="1"/>
          <c:order val="1"/>
          <c:tx>
            <c:strRef>
              <c:f>Charts!$C$14</c:f>
              <c:strCache>
                <c:ptCount val="1"/>
                <c:pt idx="0">
                  <c:v>2021</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Charts!$A$15:$A$18</c:f>
              <c:strCache>
                <c:ptCount val="4"/>
                <c:pt idx="0">
                  <c:v>Gross margin</c:v>
                </c:pt>
                <c:pt idx="1">
                  <c:v>EBITDA margin</c:v>
                </c:pt>
                <c:pt idx="2">
                  <c:v>EBIT margin</c:v>
                </c:pt>
                <c:pt idx="3">
                  <c:v>Net margin</c:v>
                </c:pt>
              </c:strCache>
            </c:strRef>
          </c:cat>
          <c:val>
            <c:numRef>
              <c:f>Charts!$C$15:$C$18</c:f>
              <c:numCache>
                <c:formatCode>0%</c:formatCode>
                <c:ptCount val="4"/>
                <c:pt idx="0">
                  <c:v>0.42032514441639601</c:v>
                </c:pt>
                <c:pt idx="1">
                  <c:v>0.1259519562728012</c:v>
                </c:pt>
                <c:pt idx="2">
                  <c:v>5.2954097509269465E-2</c:v>
                </c:pt>
                <c:pt idx="3">
                  <c:v>7.1014128755145567E-2</c:v>
                </c:pt>
              </c:numCache>
            </c:numRef>
          </c:val>
          <c:extLst>
            <c:ext xmlns:c16="http://schemas.microsoft.com/office/drawing/2014/chart" uri="{C3380CC4-5D6E-409C-BE32-E72D297353CC}">
              <c16:uniqueId val="{00000001-F422-4889-AC75-FA5031D7879B}"/>
            </c:ext>
          </c:extLst>
        </c:ser>
        <c:ser>
          <c:idx val="2"/>
          <c:order val="2"/>
          <c:tx>
            <c:strRef>
              <c:f>Charts!$D$14</c:f>
              <c:strCache>
                <c:ptCount val="1"/>
                <c:pt idx="0">
                  <c:v>Average</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Charts!$A$15:$A$18</c:f>
              <c:strCache>
                <c:ptCount val="4"/>
                <c:pt idx="0">
                  <c:v>Gross margin</c:v>
                </c:pt>
                <c:pt idx="1">
                  <c:v>EBITDA margin</c:v>
                </c:pt>
                <c:pt idx="2">
                  <c:v>EBIT margin</c:v>
                </c:pt>
                <c:pt idx="3">
                  <c:v>Net margin</c:v>
                </c:pt>
              </c:strCache>
            </c:strRef>
          </c:cat>
          <c:val>
            <c:numRef>
              <c:f>Charts!$D$15:$D$18</c:f>
              <c:numCache>
                <c:formatCode>0%</c:formatCode>
                <c:ptCount val="4"/>
                <c:pt idx="0">
                  <c:v>0.39435260812122985</c:v>
                </c:pt>
                <c:pt idx="1">
                  <c:v>0.11211103575766838</c:v>
                </c:pt>
                <c:pt idx="2">
                  <c:v>4.2751726660289806E-2</c:v>
                </c:pt>
                <c:pt idx="3">
                  <c:v>3.3871200743497143E-2</c:v>
                </c:pt>
              </c:numCache>
            </c:numRef>
          </c:val>
          <c:extLst>
            <c:ext xmlns:c16="http://schemas.microsoft.com/office/drawing/2014/chart" uri="{C3380CC4-5D6E-409C-BE32-E72D297353CC}">
              <c16:uniqueId val="{00000002-F422-4889-AC75-FA5031D7879B}"/>
            </c:ext>
          </c:extLst>
        </c:ser>
        <c:dLbls>
          <c:showLegendKey val="0"/>
          <c:showVal val="0"/>
          <c:showCatName val="0"/>
          <c:showSerName val="0"/>
          <c:showPercent val="0"/>
          <c:showBubbleSize val="0"/>
        </c:dLbls>
        <c:gapWidth val="100"/>
        <c:overlap val="-24"/>
        <c:axId val="1285848800"/>
        <c:axId val="1090817039"/>
      </c:barChart>
      <c:catAx>
        <c:axId val="128584880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090817039"/>
        <c:crosses val="autoZero"/>
        <c:auto val="1"/>
        <c:lblAlgn val="ctr"/>
        <c:lblOffset val="100"/>
        <c:noMultiLvlLbl val="0"/>
      </c:catAx>
      <c:valAx>
        <c:axId val="1090817039"/>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285848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IN"/>
              <a:t>Fig 3.1: Solvency</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Charts!$B$20</c:f>
              <c:strCache>
                <c:ptCount val="1"/>
                <c:pt idx="0">
                  <c:v>2022</c:v>
                </c:pt>
              </c:strCache>
            </c:strRef>
          </c:tx>
          <c:spPr>
            <a:solidFill>
              <a:schemeClr val="accent1">
                <a:lumMod val="75000"/>
              </a:schemeClr>
            </a:solidFill>
            <a:ln>
              <a:noFill/>
            </a:ln>
            <a:effectLst>
              <a:outerShdw blurRad="57150" dist="19050" dir="5400000" algn="ctr" rotWithShape="0">
                <a:srgbClr val="000000">
                  <a:alpha val="63000"/>
                </a:srgbClr>
              </a:outerShdw>
            </a:effectLst>
          </c:spPr>
          <c:invertIfNegative val="0"/>
          <c:cat>
            <c:strRef>
              <c:f>Charts!$A$21:$A$22</c:f>
              <c:strCache>
                <c:ptCount val="2"/>
                <c:pt idx="0">
                  <c:v>Debt to equity (D/E)</c:v>
                </c:pt>
                <c:pt idx="1">
                  <c:v>Debt to total assets</c:v>
                </c:pt>
              </c:strCache>
            </c:strRef>
          </c:cat>
          <c:val>
            <c:numRef>
              <c:f>Charts!$B$21:$B$22</c:f>
              <c:numCache>
                <c:formatCode>_(* #,##0.00_);_(* \(#,##0.00\);_(* "-"??_);_(@_)</c:formatCode>
                <c:ptCount val="2"/>
                <c:pt idx="0">
                  <c:v>0.45979608745369516</c:v>
                </c:pt>
                <c:pt idx="1">
                  <c:v>0.14513427351812827</c:v>
                </c:pt>
              </c:numCache>
            </c:numRef>
          </c:val>
          <c:extLst>
            <c:ext xmlns:c16="http://schemas.microsoft.com/office/drawing/2014/chart" uri="{C3380CC4-5D6E-409C-BE32-E72D297353CC}">
              <c16:uniqueId val="{00000000-3ABF-4D5E-B9A2-8CAB0E579DA2}"/>
            </c:ext>
          </c:extLst>
        </c:ser>
        <c:ser>
          <c:idx val="1"/>
          <c:order val="1"/>
          <c:tx>
            <c:strRef>
              <c:f>Charts!$C$20</c:f>
              <c:strCache>
                <c:ptCount val="1"/>
                <c:pt idx="0">
                  <c:v>2021</c:v>
                </c:pt>
              </c:strCache>
            </c:strRef>
          </c:tx>
          <c:spPr>
            <a:solidFill>
              <a:schemeClr val="accent1">
                <a:lumMod val="60000"/>
                <a:lumOff val="40000"/>
              </a:schemeClr>
            </a:solidFill>
            <a:ln>
              <a:noFill/>
            </a:ln>
            <a:effectLst>
              <a:outerShdw blurRad="57150" dist="19050" dir="5400000" algn="ctr" rotWithShape="0">
                <a:srgbClr val="000000">
                  <a:alpha val="63000"/>
                </a:srgbClr>
              </a:outerShdw>
            </a:effectLst>
          </c:spPr>
          <c:invertIfNegative val="0"/>
          <c:cat>
            <c:strRef>
              <c:f>Charts!$A$21:$A$22</c:f>
              <c:strCache>
                <c:ptCount val="2"/>
                <c:pt idx="0">
                  <c:v>Debt to equity (D/E)</c:v>
                </c:pt>
                <c:pt idx="1">
                  <c:v>Debt to total assets</c:v>
                </c:pt>
              </c:strCache>
            </c:strRef>
          </c:cat>
          <c:val>
            <c:numRef>
              <c:f>Charts!$C$21:$C$22</c:f>
              <c:numCache>
                <c:formatCode>_(* #,##0.00_);_(* \(#,##0.00\);_(* "-"??_);_(@_)</c:formatCode>
                <c:ptCount val="2"/>
                <c:pt idx="0">
                  <c:v>0.35259141379435061</c:v>
                </c:pt>
                <c:pt idx="1">
                  <c:v>0.11590563763081116</c:v>
                </c:pt>
              </c:numCache>
            </c:numRef>
          </c:val>
          <c:extLst>
            <c:ext xmlns:c16="http://schemas.microsoft.com/office/drawing/2014/chart" uri="{C3380CC4-5D6E-409C-BE32-E72D297353CC}">
              <c16:uniqueId val="{00000001-3ABF-4D5E-B9A2-8CAB0E579DA2}"/>
            </c:ext>
          </c:extLst>
        </c:ser>
        <c:ser>
          <c:idx val="2"/>
          <c:order val="2"/>
          <c:tx>
            <c:strRef>
              <c:f>Charts!$D$20</c:f>
              <c:strCache>
                <c:ptCount val="1"/>
                <c:pt idx="0">
                  <c:v>Average</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Charts!$A$21:$A$22</c:f>
              <c:strCache>
                <c:ptCount val="2"/>
                <c:pt idx="0">
                  <c:v>Debt to equity (D/E)</c:v>
                </c:pt>
                <c:pt idx="1">
                  <c:v>Debt to total assets</c:v>
                </c:pt>
              </c:strCache>
            </c:strRef>
          </c:cat>
          <c:val>
            <c:numRef>
              <c:f>Charts!$D$21:$D$22</c:f>
              <c:numCache>
                <c:formatCode>_(* #,##0.00_);_(* \(#,##0.00\);_(* "-"??_);_(@_)</c:formatCode>
                <c:ptCount val="2"/>
                <c:pt idx="0">
                  <c:v>0.60324874657134142</c:v>
                </c:pt>
                <c:pt idx="1">
                  <c:v>0.14561088523972418</c:v>
                </c:pt>
              </c:numCache>
            </c:numRef>
          </c:val>
          <c:extLst>
            <c:ext xmlns:c16="http://schemas.microsoft.com/office/drawing/2014/chart" uri="{C3380CC4-5D6E-409C-BE32-E72D297353CC}">
              <c16:uniqueId val="{00000003-3ABF-4D5E-B9A2-8CAB0E579DA2}"/>
            </c:ext>
          </c:extLst>
        </c:ser>
        <c:dLbls>
          <c:showLegendKey val="0"/>
          <c:showVal val="0"/>
          <c:showCatName val="0"/>
          <c:showSerName val="0"/>
          <c:showPercent val="0"/>
          <c:showBubbleSize val="0"/>
        </c:dLbls>
        <c:gapWidth val="100"/>
        <c:overlap val="-24"/>
        <c:axId val="1147780687"/>
        <c:axId val="1278026224"/>
      </c:barChart>
      <c:catAx>
        <c:axId val="114778068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278026224"/>
        <c:crosses val="autoZero"/>
        <c:auto val="1"/>
        <c:lblAlgn val="ctr"/>
        <c:lblOffset val="100"/>
        <c:noMultiLvlLbl val="0"/>
      </c:catAx>
      <c:valAx>
        <c:axId val="1278026224"/>
        <c:scaling>
          <c:orientation val="minMax"/>
        </c:scaling>
        <c:delete val="0"/>
        <c:axPos val="l"/>
        <c:majorGridlines>
          <c:spPr>
            <a:ln w="9525" cap="flat" cmpd="sng" algn="ctr">
              <a:solidFill>
                <a:schemeClr val="lt1">
                  <a:lumMod val="95000"/>
                  <a:alpha val="10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1477806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IN"/>
              <a:t>Fig 3.2:Interest Coverage ratio</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Charts!$B$23</c:f>
              <c:strCache>
                <c:ptCount val="1"/>
                <c:pt idx="0">
                  <c:v>2022</c:v>
                </c:pt>
              </c:strCache>
            </c:strRef>
          </c:tx>
          <c:spPr>
            <a:solidFill>
              <a:schemeClr val="accent1">
                <a:lumMod val="75000"/>
              </a:schemeClr>
            </a:solidFill>
            <a:ln>
              <a:noFill/>
            </a:ln>
            <a:effectLst>
              <a:outerShdw blurRad="57150" dist="19050" dir="5400000" algn="ctr" rotWithShape="0">
                <a:srgbClr val="000000">
                  <a:alpha val="63000"/>
                </a:srgbClr>
              </a:outerShdw>
            </a:effectLst>
          </c:spPr>
          <c:invertIfNegative val="0"/>
          <c:cat>
            <c:strRef>
              <c:f>Charts!$A$24</c:f>
              <c:strCache>
                <c:ptCount val="1"/>
                <c:pt idx="0">
                  <c:v>Times interest earned</c:v>
                </c:pt>
              </c:strCache>
            </c:strRef>
          </c:cat>
          <c:val>
            <c:numRef>
              <c:f>Charts!$B$24</c:f>
              <c:numCache>
                <c:formatCode>General</c:formatCode>
                <c:ptCount val="1"/>
                <c:pt idx="0">
                  <c:v>5.1744824672581329</c:v>
                </c:pt>
              </c:numCache>
            </c:numRef>
          </c:val>
          <c:extLst>
            <c:ext xmlns:c16="http://schemas.microsoft.com/office/drawing/2014/chart" uri="{C3380CC4-5D6E-409C-BE32-E72D297353CC}">
              <c16:uniqueId val="{00000000-B47E-48B9-AEB1-0FCEE399F082}"/>
            </c:ext>
          </c:extLst>
        </c:ser>
        <c:ser>
          <c:idx val="1"/>
          <c:order val="1"/>
          <c:tx>
            <c:strRef>
              <c:f>Charts!$C$23</c:f>
              <c:strCache>
                <c:ptCount val="1"/>
                <c:pt idx="0">
                  <c:v>2021</c:v>
                </c:pt>
              </c:strCache>
            </c:strRef>
          </c:tx>
          <c:spPr>
            <a:solidFill>
              <a:schemeClr val="accent1">
                <a:lumMod val="60000"/>
                <a:lumOff val="40000"/>
              </a:schemeClr>
            </a:solidFill>
            <a:ln>
              <a:noFill/>
            </a:ln>
            <a:effectLst>
              <a:outerShdw blurRad="57150" dist="19050" dir="5400000" algn="ctr" rotWithShape="0">
                <a:srgbClr val="000000">
                  <a:alpha val="63000"/>
                </a:srgbClr>
              </a:outerShdw>
            </a:effectLst>
          </c:spPr>
          <c:invertIfNegative val="0"/>
          <c:cat>
            <c:strRef>
              <c:f>Charts!$A$24</c:f>
              <c:strCache>
                <c:ptCount val="1"/>
                <c:pt idx="0">
                  <c:v>Times interest earned</c:v>
                </c:pt>
              </c:strCache>
            </c:strRef>
          </c:cat>
          <c:val>
            <c:numRef>
              <c:f>Charts!$C$24</c:f>
              <c:numCache>
                <c:formatCode>_(* #,##0.00_);_(* \(#,##0.00\);_(* "-"??_);_(@_)</c:formatCode>
                <c:ptCount val="1"/>
                <c:pt idx="0">
                  <c:v>13.752902155887231</c:v>
                </c:pt>
              </c:numCache>
            </c:numRef>
          </c:val>
          <c:extLst>
            <c:ext xmlns:c16="http://schemas.microsoft.com/office/drawing/2014/chart" uri="{C3380CC4-5D6E-409C-BE32-E72D297353CC}">
              <c16:uniqueId val="{00000001-B47E-48B9-AEB1-0FCEE399F082}"/>
            </c:ext>
          </c:extLst>
        </c:ser>
        <c:ser>
          <c:idx val="2"/>
          <c:order val="2"/>
          <c:tx>
            <c:strRef>
              <c:f>Charts!$D$23</c:f>
              <c:strCache>
                <c:ptCount val="1"/>
                <c:pt idx="0">
                  <c:v>Average</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Charts!$A$24</c:f>
              <c:strCache>
                <c:ptCount val="1"/>
                <c:pt idx="0">
                  <c:v>Times interest earned</c:v>
                </c:pt>
              </c:strCache>
            </c:strRef>
          </c:cat>
          <c:val>
            <c:numRef>
              <c:f>Charts!$D$24</c:f>
              <c:numCache>
                <c:formatCode>_(* #,##0.00_);_(* \(#,##0.00\);_(* "-"??_);_(@_)</c:formatCode>
                <c:ptCount val="1"/>
                <c:pt idx="0">
                  <c:v>7.5652694399320026</c:v>
                </c:pt>
              </c:numCache>
            </c:numRef>
          </c:val>
          <c:extLst>
            <c:ext xmlns:c16="http://schemas.microsoft.com/office/drawing/2014/chart" uri="{C3380CC4-5D6E-409C-BE32-E72D297353CC}">
              <c16:uniqueId val="{00000002-B47E-48B9-AEB1-0FCEE399F082}"/>
            </c:ext>
          </c:extLst>
        </c:ser>
        <c:dLbls>
          <c:showLegendKey val="0"/>
          <c:showVal val="0"/>
          <c:showCatName val="0"/>
          <c:showSerName val="0"/>
          <c:showPercent val="0"/>
          <c:showBubbleSize val="0"/>
        </c:dLbls>
        <c:gapWidth val="100"/>
        <c:overlap val="-24"/>
        <c:axId val="1148332495"/>
        <c:axId val="1093652591"/>
      </c:barChart>
      <c:catAx>
        <c:axId val="1148332495"/>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093652591"/>
        <c:crosses val="autoZero"/>
        <c:auto val="1"/>
        <c:lblAlgn val="ctr"/>
        <c:lblOffset val="100"/>
        <c:noMultiLvlLbl val="0"/>
      </c:catAx>
      <c:valAx>
        <c:axId val="1093652591"/>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148332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IN" sz="1100"/>
              <a:t>Fig 4 Turnover</a:t>
            </a:r>
            <a:r>
              <a:rPr lang="en-IN" sz="1100" baseline="0"/>
              <a:t> ratios</a:t>
            </a:r>
            <a:endParaRPr lang="en-IN" sz="1100"/>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Charts!$B$26</c:f>
              <c:strCache>
                <c:ptCount val="1"/>
                <c:pt idx="0">
                  <c:v>2022</c:v>
                </c:pt>
              </c:strCache>
            </c:strRef>
          </c:tx>
          <c:spPr>
            <a:solidFill>
              <a:schemeClr val="accent1">
                <a:lumMod val="75000"/>
              </a:schemeClr>
            </a:solidFill>
            <a:ln>
              <a:noFill/>
            </a:ln>
            <a:effectLst>
              <a:outerShdw blurRad="57150" dist="19050" dir="5400000" algn="ctr" rotWithShape="0">
                <a:srgbClr val="000000">
                  <a:alpha val="63000"/>
                </a:srgbClr>
              </a:outerShdw>
            </a:effectLst>
          </c:spPr>
          <c:invertIfNegative val="0"/>
          <c:cat>
            <c:strRef>
              <c:f>Charts!$A$27:$A$28</c:f>
              <c:strCache>
                <c:ptCount val="2"/>
                <c:pt idx="0">
                  <c:v>Total asset turnover</c:v>
                </c:pt>
                <c:pt idx="1">
                  <c:v>Inventory turnover</c:v>
                </c:pt>
              </c:strCache>
            </c:strRef>
          </c:cat>
          <c:val>
            <c:numRef>
              <c:f>Charts!$B$27:$B$28</c:f>
              <c:numCache>
                <c:formatCode>_(* #,##0.00_);_(* \(#,##0.00\);_(* "-"??_);_(@_)</c:formatCode>
                <c:ptCount val="2"/>
                <c:pt idx="0">
                  <c:v>1.1638791518346421</c:v>
                </c:pt>
                <c:pt idx="1">
                  <c:v>8.6160340070102173</c:v>
                </c:pt>
              </c:numCache>
            </c:numRef>
          </c:val>
          <c:extLst>
            <c:ext xmlns:c16="http://schemas.microsoft.com/office/drawing/2014/chart" uri="{C3380CC4-5D6E-409C-BE32-E72D297353CC}">
              <c16:uniqueId val="{00000000-4DAE-4E35-98D4-C44B54B38332}"/>
            </c:ext>
          </c:extLst>
        </c:ser>
        <c:ser>
          <c:idx val="1"/>
          <c:order val="1"/>
          <c:tx>
            <c:strRef>
              <c:f>Charts!$C$26</c:f>
              <c:strCache>
                <c:ptCount val="1"/>
                <c:pt idx="0">
                  <c:v>2021</c:v>
                </c:pt>
              </c:strCache>
            </c:strRef>
          </c:tx>
          <c:spPr>
            <a:solidFill>
              <a:schemeClr val="accent1">
                <a:lumMod val="60000"/>
                <a:lumOff val="40000"/>
              </a:schemeClr>
            </a:solidFill>
            <a:ln>
              <a:noFill/>
            </a:ln>
            <a:effectLst>
              <a:outerShdw blurRad="57150" dist="19050" dir="5400000" algn="ctr" rotWithShape="0">
                <a:srgbClr val="000000">
                  <a:alpha val="63000"/>
                </a:srgbClr>
              </a:outerShdw>
            </a:effectLst>
          </c:spPr>
          <c:invertIfNegative val="0"/>
          <c:cat>
            <c:strRef>
              <c:f>Charts!$A$27:$A$28</c:f>
              <c:strCache>
                <c:ptCount val="2"/>
                <c:pt idx="0">
                  <c:v>Total asset turnover</c:v>
                </c:pt>
                <c:pt idx="1">
                  <c:v>Inventory turnover</c:v>
                </c:pt>
              </c:strCache>
            </c:strRef>
          </c:cat>
          <c:val>
            <c:numRef>
              <c:f>Charts!$C$27:$C$28</c:f>
              <c:numCache>
                <c:formatCode>_(* #,##0.00_);_(* \(#,##0.00\);_(* "-"??_);_(@_)</c:formatCode>
                <c:ptCount val="2"/>
                <c:pt idx="0">
                  <c:v>1.2668036411484285</c:v>
                </c:pt>
                <c:pt idx="1">
                  <c:v>9.6515991849029863</c:v>
                </c:pt>
              </c:numCache>
            </c:numRef>
          </c:val>
          <c:extLst>
            <c:ext xmlns:c16="http://schemas.microsoft.com/office/drawing/2014/chart" uri="{C3380CC4-5D6E-409C-BE32-E72D297353CC}">
              <c16:uniqueId val="{00000001-4DAE-4E35-98D4-C44B54B38332}"/>
            </c:ext>
          </c:extLst>
        </c:ser>
        <c:ser>
          <c:idx val="2"/>
          <c:order val="2"/>
          <c:tx>
            <c:strRef>
              <c:f>Charts!$D$26</c:f>
              <c:strCache>
                <c:ptCount val="1"/>
                <c:pt idx="0">
                  <c:v>Average</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Charts!$A$27:$A$28</c:f>
              <c:strCache>
                <c:ptCount val="2"/>
                <c:pt idx="0">
                  <c:v>Total asset turnover</c:v>
                </c:pt>
                <c:pt idx="1">
                  <c:v>Inventory turnover</c:v>
                </c:pt>
              </c:strCache>
            </c:strRef>
          </c:cat>
          <c:val>
            <c:numRef>
              <c:f>Charts!$D$27:$D$28</c:f>
              <c:numCache>
                <c:formatCode>_(* #,##0.00_);_(* \(#,##0.00\);_(* "-"??_);_(@_)</c:formatCode>
                <c:ptCount val="2"/>
                <c:pt idx="0">
                  <c:v>1.5625519357019115</c:v>
                </c:pt>
                <c:pt idx="1">
                  <c:v>8.4347968622331209</c:v>
                </c:pt>
              </c:numCache>
            </c:numRef>
          </c:val>
          <c:extLst>
            <c:ext xmlns:c16="http://schemas.microsoft.com/office/drawing/2014/chart" uri="{C3380CC4-5D6E-409C-BE32-E72D297353CC}">
              <c16:uniqueId val="{00000002-4DAE-4E35-98D4-C44B54B38332}"/>
            </c:ext>
          </c:extLst>
        </c:ser>
        <c:dLbls>
          <c:showLegendKey val="0"/>
          <c:showVal val="0"/>
          <c:showCatName val="0"/>
          <c:showSerName val="0"/>
          <c:showPercent val="0"/>
          <c:showBubbleSize val="0"/>
        </c:dLbls>
        <c:gapWidth val="150"/>
        <c:axId val="1284135296"/>
        <c:axId val="1275766752"/>
      </c:barChart>
      <c:catAx>
        <c:axId val="128413529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275766752"/>
        <c:crosses val="autoZero"/>
        <c:auto val="1"/>
        <c:lblAlgn val="ctr"/>
        <c:lblOffset val="100"/>
        <c:noMultiLvlLbl val="0"/>
      </c:catAx>
      <c:valAx>
        <c:axId val="1275766752"/>
        <c:scaling>
          <c:orientation val="minMax"/>
        </c:scaling>
        <c:delete val="0"/>
        <c:axPos val="l"/>
        <c:majorGridlines>
          <c:spPr>
            <a:ln w="9525" cap="flat" cmpd="sng" algn="ctr">
              <a:solidFill>
                <a:schemeClr val="lt1">
                  <a:lumMod val="95000"/>
                  <a:alpha val="10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2841352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IN" sz="1100"/>
              <a:t>Fig 4.1:Investor</a:t>
            </a:r>
            <a:r>
              <a:rPr lang="en-IN" sz="1100" baseline="0"/>
              <a:t> ratios</a:t>
            </a:r>
            <a:endParaRPr lang="en-IN" sz="1100"/>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Charts!$B$31</c:f>
              <c:strCache>
                <c:ptCount val="1"/>
                <c:pt idx="0">
                  <c:v>2022</c:v>
                </c:pt>
              </c:strCache>
            </c:strRef>
          </c:tx>
          <c:spPr>
            <a:solidFill>
              <a:schemeClr val="accent1">
                <a:lumMod val="75000"/>
              </a:schemeClr>
            </a:solidFill>
            <a:ln>
              <a:noFill/>
            </a:ln>
            <a:effectLst>
              <a:outerShdw blurRad="57150" dist="19050" dir="5400000" algn="ctr" rotWithShape="0">
                <a:srgbClr val="000000">
                  <a:alpha val="63000"/>
                </a:srgbClr>
              </a:outerShdw>
            </a:effectLst>
          </c:spPr>
          <c:invertIfNegative val="0"/>
          <c:cat>
            <c:strRef>
              <c:f>Charts!$A$32:$A$34</c:f>
              <c:strCache>
                <c:ptCount val="3"/>
                <c:pt idx="0">
                  <c:v>ROE</c:v>
                </c:pt>
                <c:pt idx="1">
                  <c:v>ROCE</c:v>
                </c:pt>
                <c:pt idx="2">
                  <c:v>ROA</c:v>
                </c:pt>
              </c:strCache>
            </c:strRef>
          </c:cat>
          <c:val>
            <c:numRef>
              <c:f>Charts!$B$32:$B$34</c:f>
              <c:numCache>
                <c:formatCode>0%</c:formatCode>
                <c:ptCount val="3"/>
                <c:pt idx="0">
                  <c:v>-1.8638346240490815E-2</c:v>
                </c:pt>
                <c:pt idx="1">
                  <c:v>-1.2767773801203605E-2</c:v>
                </c:pt>
                <c:pt idx="2">
                  <c:v>-5.8831793375479545E-3</c:v>
                </c:pt>
              </c:numCache>
            </c:numRef>
          </c:val>
          <c:extLst>
            <c:ext xmlns:c16="http://schemas.microsoft.com/office/drawing/2014/chart" uri="{C3380CC4-5D6E-409C-BE32-E72D297353CC}">
              <c16:uniqueId val="{00000000-FF1C-45F7-A774-0E83EA9875C4}"/>
            </c:ext>
          </c:extLst>
        </c:ser>
        <c:ser>
          <c:idx val="1"/>
          <c:order val="1"/>
          <c:tx>
            <c:strRef>
              <c:f>Charts!$C$31</c:f>
              <c:strCache>
                <c:ptCount val="1"/>
                <c:pt idx="0">
                  <c:v>2021</c:v>
                </c:pt>
              </c:strCache>
            </c:strRef>
          </c:tx>
          <c:spPr>
            <a:solidFill>
              <a:schemeClr val="accent1">
                <a:lumMod val="60000"/>
                <a:lumOff val="40000"/>
              </a:schemeClr>
            </a:solidFill>
            <a:ln>
              <a:noFill/>
            </a:ln>
            <a:effectLst>
              <a:outerShdw blurRad="57150" dist="19050" dir="5400000" algn="ctr" rotWithShape="0">
                <a:srgbClr val="000000">
                  <a:alpha val="63000"/>
                </a:srgbClr>
              </a:outerShdw>
            </a:effectLst>
          </c:spPr>
          <c:invertIfNegative val="0"/>
          <c:cat>
            <c:strRef>
              <c:f>Charts!$A$32:$A$34</c:f>
              <c:strCache>
                <c:ptCount val="3"/>
                <c:pt idx="0">
                  <c:v>ROE</c:v>
                </c:pt>
                <c:pt idx="1">
                  <c:v>ROCE</c:v>
                </c:pt>
                <c:pt idx="2">
                  <c:v>ROA</c:v>
                </c:pt>
              </c:strCache>
            </c:strRef>
          </c:cat>
          <c:val>
            <c:numRef>
              <c:f>Charts!$C$32:$C$34</c:f>
              <c:numCache>
                <c:formatCode>0%</c:formatCode>
                <c:ptCount val="3"/>
                <c:pt idx="0">
                  <c:v>0.2413396506202756</c:v>
                </c:pt>
                <c:pt idx="1">
                  <c:v>0.17842760804111471</c:v>
                </c:pt>
                <c:pt idx="2">
                  <c:v>7.9334393851846041E-2</c:v>
                </c:pt>
              </c:numCache>
            </c:numRef>
          </c:val>
          <c:extLst>
            <c:ext xmlns:c16="http://schemas.microsoft.com/office/drawing/2014/chart" uri="{C3380CC4-5D6E-409C-BE32-E72D297353CC}">
              <c16:uniqueId val="{00000001-FF1C-45F7-A774-0E83EA9875C4}"/>
            </c:ext>
          </c:extLst>
        </c:ser>
        <c:ser>
          <c:idx val="2"/>
          <c:order val="2"/>
          <c:tx>
            <c:strRef>
              <c:f>Charts!$D$31</c:f>
              <c:strCache>
                <c:ptCount val="1"/>
                <c:pt idx="0">
                  <c:v>Average</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Charts!$A$32:$A$34</c:f>
              <c:strCache>
                <c:ptCount val="3"/>
                <c:pt idx="0">
                  <c:v>ROE</c:v>
                </c:pt>
                <c:pt idx="1">
                  <c:v>ROCE</c:v>
                </c:pt>
                <c:pt idx="2">
                  <c:v>ROA</c:v>
                </c:pt>
              </c:strCache>
            </c:strRef>
          </c:cat>
          <c:val>
            <c:numRef>
              <c:f>Charts!$D$32:$D$34</c:f>
              <c:numCache>
                <c:formatCode>0%</c:formatCode>
                <c:ptCount val="3"/>
                <c:pt idx="0">
                  <c:v>0.17582807255900831</c:v>
                </c:pt>
                <c:pt idx="1">
                  <c:v>0.11454743423825485</c:v>
                </c:pt>
                <c:pt idx="2">
                  <c:v>4.5491605787781941E-2</c:v>
                </c:pt>
              </c:numCache>
            </c:numRef>
          </c:val>
          <c:extLst>
            <c:ext xmlns:c16="http://schemas.microsoft.com/office/drawing/2014/chart" uri="{C3380CC4-5D6E-409C-BE32-E72D297353CC}">
              <c16:uniqueId val="{00000002-FF1C-45F7-A774-0E83EA9875C4}"/>
            </c:ext>
          </c:extLst>
        </c:ser>
        <c:dLbls>
          <c:showLegendKey val="0"/>
          <c:showVal val="0"/>
          <c:showCatName val="0"/>
          <c:showSerName val="0"/>
          <c:showPercent val="0"/>
          <c:showBubbleSize val="0"/>
        </c:dLbls>
        <c:gapWidth val="150"/>
        <c:axId val="1276355408"/>
        <c:axId val="1112459856"/>
      </c:barChart>
      <c:catAx>
        <c:axId val="127635540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112459856"/>
        <c:crosses val="autoZero"/>
        <c:auto val="1"/>
        <c:lblAlgn val="ctr"/>
        <c:lblOffset val="100"/>
        <c:noMultiLvlLbl val="0"/>
      </c:catAx>
      <c:valAx>
        <c:axId val="1112459856"/>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2763554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IN" sz="1100"/>
              <a:t>Fig 4.2:</a:t>
            </a:r>
            <a:r>
              <a:rPr lang="en-IN" sz="1100" baseline="0"/>
              <a:t> </a:t>
            </a:r>
            <a:r>
              <a:rPr lang="en-IN" sz="1100"/>
              <a:t>Earnings</a:t>
            </a:r>
            <a:r>
              <a:rPr lang="en-IN" sz="1100" baseline="0"/>
              <a:t> per share</a:t>
            </a:r>
            <a:endParaRPr lang="en-IN" sz="1100"/>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Charts!$B$35</c:f>
              <c:strCache>
                <c:ptCount val="1"/>
                <c:pt idx="0">
                  <c:v>2022</c:v>
                </c:pt>
              </c:strCache>
            </c:strRef>
          </c:tx>
          <c:spPr>
            <a:solidFill>
              <a:schemeClr val="accent1">
                <a:lumMod val="75000"/>
              </a:schemeClr>
            </a:solidFill>
            <a:ln>
              <a:noFill/>
            </a:ln>
            <a:effectLst>
              <a:outerShdw blurRad="57150" dist="19050" dir="5400000" algn="ctr" rotWithShape="0">
                <a:srgbClr val="000000">
                  <a:alpha val="63000"/>
                </a:srgbClr>
              </a:outerShdw>
            </a:effectLst>
          </c:spPr>
          <c:invertIfNegative val="0"/>
          <c:cat>
            <c:strRef>
              <c:f>Charts!$A$36</c:f>
              <c:strCache>
                <c:ptCount val="1"/>
                <c:pt idx="0">
                  <c:v>Earnings per share (EPS)</c:v>
                </c:pt>
              </c:strCache>
            </c:strRef>
          </c:cat>
          <c:val>
            <c:numRef>
              <c:f>Charts!$B$36</c:f>
              <c:numCache>
                <c:formatCode>_(* #,##0.00_);_(* \(#,##0.00\);_(* "-"??_);_(@_)</c:formatCode>
                <c:ptCount val="1"/>
                <c:pt idx="0">
                  <c:v>-0.27</c:v>
                </c:pt>
              </c:numCache>
            </c:numRef>
          </c:val>
          <c:extLst>
            <c:ext xmlns:c16="http://schemas.microsoft.com/office/drawing/2014/chart" uri="{C3380CC4-5D6E-409C-BE32-E72D297353CC}">
              <c16:uniqueId val="{00000000-3ED0-4C24-8FF6-E2D5F6FF2174}"/>
            </c:ext>
          </c:extLst>
        </c:ser>
        <c:ser>
          <c:idx val="1"/>
          <c:order val="1"/>
          <c:tx>
            <c:strRef>
              <c:f>Charts!$C$35</c:f>
              <c:strCache>
                <c:ptCount val="1"/>
                <c:pt idx="0">
                  <c:v>2021</c:v>
                </c:pt>
              </c:strCache>
            </c:strRef>
          </c:tx>
          <c:spPr>
            <a:solidFill>
              <a:schemeClr val="accent1">
                <a:lumMod val="60000"/>
                <a:lumOff val="40000"/>
              </a:schemeClr>
            </a:solidFill>
            <a:ln>
              <a:noFill/>
            </a:ln>
            <a:effectLst>
              <a:outerShdw blurRad="57150" dist="19050" dir="5400000" algn="ctr" rotWithShape="0">
                <a:srgbClr val="000000">
                  <a:alpha val="63000"/>
                </a:srgbClr>
              </a:outerShdw>
            </a:effectLst>
          </c:spPr>
          <c:invertIfNegative val="0"/>
          <c:cat>
            <c:strRef>
              <c:f>Charts!$A$36</c:f>
              <c:strCache>
                <c:ptCount val="1"/>
                <c:pt idx="0">
                  <c:v>Earnings per share (EPS)</c:v>
                </c:pt>
              </c:strCache>
            </c:strRef>
          </c:cat>
          <c:val>
            <c:numRef>
              <c:f>Charts!$C$36</c:f>
              <c:numCache>
                <c:formatCode>_(* #,##0.00_);_(* \(#,##0.00\);_(* "-"??_);_(@_)</c:formatCode>
                <c:ptCount val="1"/>
                <c:pt idx="0">
                  <c:v>3.2404999999999999</c:v>
                </c:pt>
              </c:numCache>
            </c:numRef>
          </c:val>
          <c:extLst>
            <c:ext xmlns:c16="http://schemas.microsoft.com/office/drawing/2014/chart" uri="{C3380CC4-5D6E-409C-BE32-E72D297353CC}">
              <c16:uniqueId val="{00000001-3ED0-4C24-8FF6-E2D5F6FF2174}"/>
            </c:ext>
          </c:extLst>
        </c:ser>
        <c:ser>
          <c:idx val="2"/>
          <c:order val="2"/>
          <c:tx>
            <c:strRef>
              <c:f>Charts!$D$35</c:f>
              <c:strCache>
                <c:ptCount val="1"/>
                <c:pt idx="0">
                  <c:v>Average</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Charts!$A$36</c:f>
              <c:strCache>
                <c:ptCount val="1"/>
                <c:pt idx="0">
                  <c:v>Earnings per share (EPS)</c:v>
                </c:pt>
              </c:strCache>
            </c:strRef>
          </c:cat>
          <c:val>
            <c:numRef>
              <c:f>Charts!$D$36</c:f>
              <c:numCache>
                <c:formatCode>_(* #,##0.00_);_(* \(#,##0.00\);_(* "-"??_);_(@_)</c:formatCode>
                <c:ptCount val="1"/>
                <c:pt idx="0">
                  <c:v>0.82166666666666677</c:v>
                </c:pt>
              </c:numCache>
            </c:numRef>
          </c:val>
          <c:extLst>
            <c:ext xmlns:c16="http://schemas.microsoft.com/office/drawing/2014/chart" uri="{C3380CC4-5D6E-409C-BE32-E72D297353CC}">
              <c16:uniqueId val="{00000002-3ED0-4C24-8FF6-E2D5F6FF2174}"/>
            </c:ext>
          </c:extLst>
        </c:ser>
        <c:dLbls>
          <c:showLegendKey val="0"/>
          <c:showVal val="0"/>
          <c:showCatName val="0"/>
          <c:showSerName val="0"/>
          <c:showPercent val="0"/>
          <c:showBubbleSize val="0"/>
        </c:dLbls>
        <c:gapWidth val="150"/>
        <c:axId val="1276559600"/>
        <c:axId val="1090816543"/>
      </c:barChart>
      <c:catAx>
        <c:axId val="127655960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090816543"/>
        <c:crosses val="autoZero"/>
        <c:auto val="1"/>
        <c:lblAlgn val="ctr"/>
        <c:lblOffset val="100"/>
        <c:noMultiLvlLbl val="0"/>
      </c:catAx>
      <c:valAx>
        <c:axId val="1090816543"/>
        <c:scaling>
          <c:orientation val="minMax"/>
        </c:scaling>
        <c:delete val="0"/>
        <c:axPos val="l"/>
        <c:majorGridlines>
          <c:spPr>
            <a:ln w="9525" cap="flat" cmpd="sng" algn="ctr">
              <a:solidFill>
                <a:schemeClr val="lt1">
                  <a:lumMod val="95000"/>
                  <a:alpha val="10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2765596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301752</xdr:colOff>
      <xdr:row>3</xdr:row>
      <xdr:rowOff>76200</xdr:rowOff>
    </xdr:from>
    <xdr:to>
      <xdr:col>12</xdr:col>
      <xdr:colOff>606552</xdr:colOff>
      <xdr:row>18</xdr:row>
      <xdr:rowOff>76200</xdr:rowOff>
    </xdr:to>
    <xdr:graphicFrame macro="">
      <xdr:nvGraphicFramePr>
        <xdr:cNvPr id="9" name="Chart 8">
          <a:extLst>
            <a:ext uri="{FF2B5EF4-FFF2-40B4-BE49-F238E27FC236}">
              <a16:creationId xmlns:a16="http://schemas.microsoft.com/office/drawing/2014/main" id="{11B9A62E-A55D-57B8-3805-EE72E2640C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204216</xdr:colOff>
      <xdr:row>19</xdr:row>
      <xdr:rowOff>76200</xdr:rowOff>
    </xdr:from>
    <xdr:to>
      <xdr:col>13</xdr:col>
      <xdr:colOff>509016</xdr:colOff>
      <xdr:row>33</xdr:row>
      <xdr:rowOff>76200</xdr:rowOff>
    </xdr:to>
    <xdr:graphicFrame macro="">
      <xdr:nvGraphicFramePr>
        <xdr:cNvPr id="10" name="Chart 9">
          <a:extLst>
            <a:ext uri="{FF2B5EF4-FFF2-40B4-BE49-F238E27FC236}">
              <a16:creationId xmlns:a16="http://schemas.microsoft.com/office/drawing/2014/main" id="{95FDC873-8578-A73D-493D-F570A7FC07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161544</xdr:colOff>
      <xdr:row>20</xdr:row>
      <xdr:rowOff>9144</xdr:rowOff>
    </xdr:from>
    <xdr:to>
      <xdr:col>13</xdr:col>
      <xdr:colOff>466344</xdr:colOff>
      <xdr:row>34</xdr:row>
      <xdr:rowOff>9144</xdr:rowOff>
    </xdr:to>
    <xdr:graphicFrame macro="">
      <xdr:nvGraphicFramePr>
        <xdr:cNvPr id="11" name="Chart 10">
          <a:extLst>
            <a:ext uri="{FF2B5EF4-FFF2-40B4-BE49-F238E27FC236}">
              <a16:creationId xmlns:a16="http://schemas.microsoft.com/office/drawing/2014/main" id="{EB85819B-6D9A-C07A-1981-A1554D15AC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332232</xdr:colOff>
      <xdr:row>18</xdr:row>
      <xdr:rowOff>100584</xdr:rowOff>
    </xdr:from>
    <xdr:to>
      <xdr:col>16</xdr:col>
      <xdr:colOff>27432</xdr:colOff>
      <xdr:row>33</xdr:row>
      <xdr:rowOff>100584</xdr:rowOff>
    </xdr:to>
    <xdr:graphicFrame macro="">
      <xdr:nvGraphicFramePr>
        <xdr:cNvPr id="12" name="Chart 11">
          <a:extLst>
            <a:ext uri="{FF2B5EF4-FFF2-40B4-BE49-F238E27FC236}">
              <a16:creationId xmlns:a16="http://schemas.microsoft.com/office/drawing/2014/main" id="{B6FF9B7C-F684-4FB5-C7AB-2D18087821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259080</xdr:colOff>
      <xdr:row>17</xdr:row>
      <xdr:rowOff>106680</xdr:rowOff>
    </xdr:from>
    <xdr:to>
      <xdr:col>12</xdr:col>
      <xdr:colOff>563880</xdr:colOff>
      <xdr:row>32</xdr:row>
      <xdr:rowOff>106680</xdr:rowOff>
    </xdr:to>
    <xdr:graphicFrame macro="">
      <xdr:nvGraphicFramePr>
        <xdr:cNvPr id="15" name="Chart 14">
          <a:extLst>
            <a:ext uri="{FF2B5EF4-FFF2-40B4-BE49-F238E27FC236}">
              <a16:creationId xmlns:a16="http://schemas.microsoft.com/office/drawing/2014/main" id="{F81705BD-46CB-F149-A1CC-C136962D97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441960</xdr:colOff>
      <xdr:row>23</xdr:row>
      <xdr:rowOff>76200</xdr:rowOff>
    </xdr:from>
    <xdr:to>
      <xdr:col>11</xdr:col>
      <xdr:colOff>137160</xdr:colOff>
      <xdr:row>38</xdr:row>
      <xdr:rowOff>76200</xdr:rowOff>
    </xdr:to>
    <xdr:graphicFrame macro="">
      <xdr:nvGraphicFramePr>
        <xdr:cNvPr id="17" name="Chart 16">
          <a:extLst>
            <a:ext uri="{FF2B5EF4-FFF2-40B4-BE49-F238E27FC236}">
              <a16:creationId xmlns:a16="http://schemas.microsoft.com/office/drawing/2014/main" id="{B12A2E60-1F0B-6840-A408-6206F79F0F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r.aboutamazon.com/annual-reports-proxies-and-shareholder-letters/default.aspx"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tabSelected="1" zoomScale="134" workbookViewId="0">
      <selection activeCell="A5" sqref="A5"/>
    </sheetView>
  </sheetViews>
  <sheetFormatPr defaultRowHeight="14.4" x14ac:dyDescent="0.3"/>
  <cols>
    <col min="1" max="1" width="157.88671875" style="2" customWidth="1"/>
  </cols>
  <sheetData>
    <row r="1" spans="1:1" ht="23.4" x14ac:dyDescent="0.45">
      <c r="A1" s="3" t="s">
        <v>0</v>
      </c>
    </row>
    <row r="3" spans="1:1" x14ac:dyDescent="0.3">
      <c r="A3" s="2" t="s">
        <v>60</v>
      </c>
    </row>
    <row r="4" spans="1:1" x14ac:dyDescent="0.3">
      <c r="A4" s="5" t="s">
        <v>5</v>
      </c>
    </row>
    <row r="5" spans="1:1" x14ac:dyDescent="0.3">
      <c r="A5" s="6" t="s">
        <v>1</v>
      </c>
    </row>
    <row r="7" spans="1:1" x14ac:dyDescent="0.3">
      <c r="A7" s="2" t="s">
        <v>58</v>
      </c>
    </row>
    <row r="8" spans="1:1" x14ac:dyDescent="0.3">
      <c r="A8" s="2" t="s">
        <v>59</v>
      </c>
    </row>
    <row r="9" spans="1:1" ht="28.8" x14ac:dyDescent="0.3">
      <c r="A9" s="2" t="s">
        <v>2</v>
      </c>
    </row>
    <row r="10" spans="1:1" x14ac:dyDescent="0.3">
      <c r="A10" s="2" t="s">
        <v>6</v>
      </c>
    </row>
    <row r="11" spans="1:1" x14ac:dyDescent="0.3">
      <c r="A11" s="2" t="s">
        <v>4</v>
      </c>
    </row>
    <row r="13" spans="1:1" x14ac:dyDescent="0.3">
      <c r="A13" s="4" t="s">
        <v>3</v>
      </c>
    </row>
    <row r="14" spans="1:1" x14ac:dyDescent="0.3">
      <c r="A14" s="2" t="s">
        <v>7</v>
      </c>
    </row>
    <row r="15" spans="1:1" x14ac:dyDescent="0.3">
      <c r="A15" s="2" t="s">
        <v>8</v>
      </c>
    </row>
  </sheetData>
  <hyperlinks>
    <hyperlink ref="A5"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25"/>
  <sheetViews>
    <sheetView zoomScale="136" workbookViewId="0">
      <selection activeCell="C17" sqref="C17"/>
    </sheetView>
  </sheetViews>
  <sheetFormatPr defaultRowHeight="14.4" x14ac:dyDescent="0.3"/>
  <cols>
    <col min="1" max="1" width="59" customWidth="1"/>
    <col min="2" max="4" width="9.109375" bestFit="1" customWidth="1"/>
    <col min="5" max="6" width="11.5546875" bestFit="1" customWidth="1"/>
    <col min="7" max="7" width="11.6640625" bestFit="1" customWidth="1"/>
  </cols>
  <sheetData>
    <row r="1" spans="1:13" ht="60" customHeight="1" x14ac:dyDescent="0.3">
      <c r="A1" s="7" t="s">
        <v>73</v>
      </c>
      <c r="B1" s="8" t="s">
        <v>74</v>
      </c>
      <c r="C1" s="7"/>
      <c r="D1" s="7"/>
      <c r="E1" s="8" t="s">
        <v>74</v>
      </c>
      <c r="F1" s="8"/>
      <c r="G1" s="8"/>
      <c r="H1" s="8"/>
      <c r="I1" s="8"/>
      <c r="J1" s="8"/>
      <c r="K1" s="8"/>
      <c r="L1" s="8"/>
      <c r="M1" s="8"/>
    </row>
    <row r="2" spans="1:13" x14ac:dyDescent="0.3">
      <c r="A2" s="38" t="s">
        <v>9</v>
      </c>
      <c r="B2" s="38"/>
      <c r="C2" s="38"/>
      <c r="D2" s="38"/>
      <c r="E2" s="38"/>
      <c r="F2" s="38"/>
      <c r="G2" s="38"/>
    </row>
    <row r="3" spans="1:13" x14ac:dyDescent="0.3">
      <c r="B3" s="37" t="s">
        <v>55</v>
      </c>
      <c r="C3" s="37"/>
      <c r="D3" s="37"/>
      <c r="E3" s="37"/>
      <c r="F3" s="37"/>
      <c r="G3" s="37"/>
      <c r="H3" s="37"/>
    </row>
    <row r="4" spans="1:13" x14ac:dyDescent="0.3">
      <c r="B4" s="9">
        <v>2022</v>
      </c>
      <c r="C4" s="9">
        <v>2021</v>
      </c>
      <c r="D4" s="9">
        <v>2020</v>
      </c>
      <c r="E4" s="9">
        <v>2019</v>
      </c>
      <c r="F4" s="9">
        <v>2018</v>
      </c>
      <c r="G4" s="9">
        <v>2017</v>
      </c>
      <c r="H4" s="9">
        <v>2016</v>
      </c>
    </row>
    <row r="6" spans="1:13" x14ac:dyDescent="0.3">
      <c r="A6" s="1" t="s">
        <v>61</v>
      </c>
      <c r="B6" s="10">
        <v>242901</v>
      </c>
      <c r="C6" s="10">
        <v>241787</v>
      </c>
      <c r="D6" s="10">
        <v>215915</v>
      </c>
      <c r="E6" s="10">
        <v>160408</v>
      </c>
      <c r="F6" s="10">
        <v>141915</v>
      </c>
      <c r="G6" s="10">
        <v>118573</v>
      </c>
      <c r="H6">
        <v>94665</v>
      </c>
    </row>
    <row r="7" spans="1:13" x14ac:dyDescent="0.3">
      <c r="A7" s="1" t="s">
        <v>62</v>
      </c>
      <c r="B7" s="10">
        <v>271082</v>
      </c>
      <c r="C7" s="10">
        <v>228035</v>
      </c>
      <c r="D7" s="10">
        <v>170149</v>
      </c>
      <c r="E7" s="10">
        <v>120114</v>
      </c>
      <c r="F7" s="10">
        <v>90972</v>
      </c>
      <c r="G7" s="10">
        <v>59293</v>
      </c>
      <c r="H7">
        <v>41322</v>
      </c>
    </row>
    <row r="8" spans="1:13" x14ac:dyDescent="0.3">
      <c r="A8" s="11" t="s">
        <v>63</v>
      </c>
      <c r="B8" s="12">
        <f>SUM(B6:B7)</f>
        <v>513983</v>
      </c>
      <c r="C8" s="12">
        <f>SUM(C6:C7)</f>
        <v>469822</v>
      </c>
      <c r="D8" s="12">
        <f>SUM(D6:D7)</f>
        <v>386064</v>
      </c>
      <c r="E8" s="12">
        <f>SUM(E6:E7)</f>
        <v>280522</v>
      </c>
      <c r="F8" s="12">
        <f t="shared" ref="F8:H8" si="0">SUM(F6:F7)</f>
        <v>232887</v>
      </c>
      <c r="G8" s="12">
        <f t="shared" si="0"/>
        <v>177866</v>
      </c>
      <c r="H8" s="12">
        <f t="shared" si="0"/>
        <v>135987</v>
      </c>
    </row>
    <row r="9" spans="1:13" x14ac:dyDescent="0.3">
      <c r="A9" t="s">
        <v>64</v>
      </c>
      <c r="E9" s="10"/>
      <c r="F9" s="10"/>
      <c r="G9" s="10"/>
    </row>
    <row r="10" spans="1:13" x14ac:dyDescent="0.3">
      <c r="A10" s="1" t="s">
        <v>65</v>
      </c>
      <c r="B10" s="10">
        <v>288831</v>
      </c>
      <c r="C10" s="10">
        <v>272344</v>
      </c>
      <c r="D10" s="10">
        <v>233307</v>
      </c>
      <c r="E10" s="10">
        <v>165536</v>
      </c>
      <c r="F10" s="10">
        <v>139156</v>
      </c>
      <c r="G10" s="10">
        <v>111934</v>
      </c>
      <c r="H10">
        <v>88265</v>
      </c>
    </row>
    <row r="11" spans="1:13" x14ac:dyDescent="0.3">
      <c r="A11" s="1" t="s">
        <v>66</v>
      </c>
      <c r="B11" s="10">
        <v>84299</v>
      </c>
      <c r="C11" s="10">
        <v>75111</v>
      </c>
      <c r="D11" s="10">
        <v>58517</v>
      </c>
      <c r="E11" s="10">
        <v>40232</v>
      </c>
      <c r="F11" s="10">
        <v>34027</v>
      </c>
      <c r="G11" s="10">
        <v>25249</v>
      </c>
      <c r="H11">
        <v>17619</v>
      </c>
    </row>
    <row r="12" spans="1:13" x14ac:dyDescent="0.3">
      <c r="A12" s="1" t="s">
        <v>67</v>
      </c>
      <c r="B12" s="10">
        <v>73213</v>
      </c>
      <c r="C12" s="10">
        <v>56052</v>
      </c>
      <c r="D12" s="10">
        <v>42740</v>
      </c>
      <c r="E12" s="10">
        <v>35931</v>
      </c>
      <c r="F12" s="10">
        <v>28837</v>
      </c>
      <c r="G12" s="10">
        <v>22620</v>
      </c>
      <c r="H12">
        <v>7233</v>
      </c>
    </row>
    <row r="13" spans="1:13" x14ac:dyDescent="0.3">
      <c r="A13" s="1" t="s">
        <v>68</v>
      </c>
      <c r="B13" s="10">
        <v>42238</v>
      </c>
      <c r="C13" s="10">
        <v>32551</v>
      </c>
      <c r="D13" s="10">
        <v>22008</v>
      </c>
      <c r="E13" s="10">
        <v>18878</v>
      </c>
      <c r="F13" s="10">
        <v>13814</v>
      </c>
      <c r="G13" s="10">
        <v>10069</v>
      </c>
      <c r="H13">
        <v>16085</v>
      </c>
    </row>
    <row r="14" spans="1:13" x14ac:dyDescent="0.3">
      <c r="A14" s="1" t="s">
        <v>69</v>
      </c>
      <c r="B14" s="10">
        <v>11891</v>
      </c>
      <c r="C14" s="10">
        <v>8823</v>
      </c>
      <c r="D14" s="10">
        <v>6668</v>
      </c>
      <c r="E14" s="10">
        <v>5203</v>
      </c>
      <c r="F14" s="10">
        <v>4336</v>
      </c>
      <c r="G14" s="10">
        <v>3674</v>
      </c>
      <c r="H14">
        <v>2432</v>
      </c>
    </row>
    <row r="15" spans="1:13" x14ac:dyDescent="0.3">
      <c r="A15" s="1" t="s">
        <v>70</v>
      </c>
      <c r="B15" s="10">
        <v>1263</v>
      </c>
      <c r="C15" s="10">
        <v>62</v>
      </c>
      <c r="D15" s="10">
        <v>-75</v>
      </c>
      <c r="E15" s="10">
        <v>201</v>
      </c>
      <c r="F15" s="10">
        <v>296</v>
      </c>
      <c r="G15" s="10">
        <v>214</v>
      </c>
      <c r="H15">
        <v>167</v>
      </c>
    </row>
    <row r="16" spans="1:13" x14ac:dyDescent="0.3">
      <c r="A16" s="11" t="s">
        <v>71</v>
      </c>
      <c r="B16" s="12">
        <f t="shared" ref="B16:C16" si="1">SUM(B10:B15)</f>
        <v>501735</v>
      </c>
      <c r="C16" s="12">
        <f t="shared" si="1"/>
        <v>444943</v>
      </c>
      <c r="D16" s="12">
        <f>SUM(D10:D15)</f>
        <v>363165</v>
      </c>
      <c r="E16" s="12">
        <f>SUM(E10:E15)</f>
        <v>265981</v>
      </c>
      <c r="F16" s="12">
        <f t="shared" ref="F16:H16" si="2">SUM(F10:F15)</f>
        <v>220466</v>
      </c>
      <c r="G16" s="12">
        <f t="shared" si="2"/>
        <v>173760</v>
      </c>
      <c r="H16" s="12">
        <f t="shared" si="2"/>
        <v>131801</v>
      </c>
    </row>
    <row r="17" spans="1:8" x14ac:dyDescent="0.3">
      <c r="A17" s="11" t="s">
        <v>72</v>
      </c>
      <c r="B17" s="12">
        <f t="shared" ref="B17:C17" si="3">B8-B16</f>
        <v>12248</v>
      </c>
      <c r="C17" s="12">
        <f t="shared" si="3"/>
        <v>24879</v>
      </c>
      <c r="D17" s="12">
        <f>D8-D16</f>
        <v>22899</v>
      </c>
      <c r="E17" s="12">
        <f>E8-E16</f>
        <v>14541</v>
      </c>
      <c r="F17" s="12">
        <f t="shared" ref="F17:H17" si="4">F8-F16</f>
        <v>12421</v>
      </c>
      <c r="G17" s="12">
        <f t="shared" si="4"/>
        <v>4106</v>
      </c>
      <c r="H17" s="12">
        <f t="shared" si="4"/>
        <v>4186</v>
      </c>
    </row>
    <row r="18" spans="1:8" x14ac:dyDescent="0.3">
      <c r="A18" s="1" t="s">
        <v>75</v>
      </c>
      <c r="B18" s="10">
        <v>989</v>
      </c>
      <c r="C18" s="10">
        <v>448</v>
      </c>
      <c r="D18" s="20">
        <v>555</v>
      </c>
      <c r="E18" s="20">
        <v>832</v>
      </c>
      <c r="F18" s="20">
        <v>440</v>
      </c>
      <c r="G18" s="20">
        <v>202</v>
      </c>
      <c r="H18">
        <v>100</v>
      </c>
    </row>
    <row r="19" spans="1:8" x14ac:dyDescent="0.3">
      <c r="A19" s="1" t="s">
        <v>76</v>
      </c>
      <c r="B19" s="10">
        <v>-2367</v>
      </c>
      <c r="C19" s="10">
        <v>-1809</v>
      </c>
      <c r="D19" s="20">
        <v>-1647</v>
      </c>
      <c r="E19" s="20">
        <v>-1600</v>
      </c>
      <c r="F19" s="20">
        <v>-1417</v>
      </c>
      <c r="G19" s="20">
        <v>-848</v>
      </c>
      <c r="H19">
        <v>-484</v>
      </c>
    </row>
    <row r="20" spans="1:8" x14ac:dyDescent="0.3">
      <c r="A20" s="1" t="s">
        <v>77</v>
      </c>
      <c r="B20" s="10">
        <v>-16806</v>
      </c>
      <c r="C20" s="10">
        <v>14633</v>
      </c>
      <c r="D20" s="20">
        <v>2371</v>
      </c>
      <c r="E20" s="21">
        <v>203</v>
      </c>
      <c r="F20" s="21">
        <v>-183</v>
      </c>
      <c r="G20" s="21">
        <v>346</v>
      </c>
      <c r="H20">
        <v>90</v>
      </c>
    </row>
    <row r="21" spans="1:8" x14ac:dyDescent="0.3">
      <c r="A21" s="11" t="s">
        <v>78</v>
      </c>
      <c r="B21" s="12">
        <f>SUM(B18:B20)</f>
        <v>-18184</v>
      </c>
      <c r="C21" s="12">
        <f>SUM(C18:C20)</f>
        <v>13272</v>
      </c>
      <c r="D21" s="12">
        <f>SUM(D18:D20)</f>
        <v>1279</v>
      </c>
      <c r="E21" s="12">
        <f>SUM(E18:E20)</f>
        <v>-565</v>
      </c>
      <c r="F21" s="12">
        <f t="shared" ref="F21:H21" si="5">SUM(F18:F20)</f>
        <v>-1160</v>
      </c>
      <c r="G21" s="12">
        <f t="shared" si="5"/>
        <v>-300</v>
      </c>
      <c r="H21" s="12">
        <f t="shared" si="5"/>
        <v>-294</v>
      </c>
    </row>
    <row r="22" spans="1:8" s="11" customFormat="1" x14ac:dyDescent="0.3">
      <c r="A22" s="11" t="s">
        <v>79</v>
      </c>
      <c r="B22" s="12">
        <f t="shared" ref="B22:C22" si="6">B17+B21</f>
        <v>-5936</v>
      </c>
      <c r="C22" s="12">
        <f t="shared" si="6"/>
        <v>38151</v>
      </c>
      <c r="D22" s="12">
        <f>D17+D21</f>
        <v>24178</v>
      </c>
      <c r="E22" s="12">
        <f>E17+E21</f>
        <v>13976</v>
      </c>
      <c r="F22" s="12">
        <f t="shared" ref="F22:H22" si="7">F17+F21</f>
        <v>11261</v>
      </c>
      <c r="G22" s="12">
        <f t="shared" si="7"/>
        <v>3806</v>
      </c>
      <c r="H22" s="12">
        <f t="shared" si="7"/>
        <v>3892</v>
      </c>
    </row>
    <row r="23" spans="1:8" x14ac:dyDescent="0.3">
      <c r="A23" t="s">
        <v>80</v>
      </c>
      <c r="B23" s="10">
        <v>3217</v>
      </c>
      <c r="C23" s="10">
        <v>-4791</v>
      </c>
      <c r="D23" s="10">
        <v>-2863</v>
      </c>
      <c r="E23" s="10">
        <v>-2374</v>
      </c>
      <c r="F23" s="10">
        <v>-1197</v>
      </c>
      <c r="G23" s="10">
        <v>-769</v>
      </c>
      <c r="H23">
        <v>-1425</v>
      </c>
    </row>
    <row r="24" spans="1:8" x14ac:dyDescent="0.3">
      <c r="A24" t="s">
        <v>81</v>
      </c>
      <c r="B24" s="10">
        <v>-3</v>
      </c>
      <c r="C24" s="10">
        <v>4</v>
      </c>
      <c r="D24" s="10">
        <v>16</v>
      </c>
      <c r="E24" s="10">
        <v>-14</v>
      </c>
      <c r="F24" s="10">
        <v>9</v>
      </c>
      <c r="G24" s="10">
        <v>-4</v>
      </c>
      <c r="H24">
        <v>-96</v>
      </c>
    </row>
    <row r="25" spans="1:8" ht="15" thickBot="1" x14ac:dyDescent="0.35">
      <c r="A25" s="13" t="s">
        <v>82</v>
      </c>
      <c r="B25" s="14">
        <f t="shared" ref="B25:C25" si="8">B22+B23+B24</f>
        <v>-2722</v>
      </c>
      <c r="C25" s="14">
        <f t="shared" si="8"/>
        <v>33364</v>
      </c>
      <c r="D25" s="14">
        <f>D22+D23+D24</f>
        <v>21331</v>
      </c>
      <c r="E25" s="14">
        <f>E22+E23+E24</f>
        <v>11588</v>
      </c>
      <c r="F25" s="14">
        <f t="shared" ref="F25:H25" si="9">F22+F23+F24</f>
        <v>10073</v>
      </c>
      <c r="G25" s="14">
        <f t="shared" si="9"/>
        <v>3033</v>
      </c>
      <c r="H25" s="14">
        <f t="shared" si="9"/>
        <v>2371</v>
      </c>
    </row>
    <row r="26" spans="1:8" ht="15" thickTop="1" x14ac:dyDescent="0.3"/>
    <row r="27" spans="1:8" x14ac:dyDescent="0.3">
      <c r="A27" s="1" t="s">
        <v>83</v>
      </c>
      <c r="B27" s="15">
        <v>-0.27</v>
      </c>
      <c r="C27" s="15">
        <v>65.959999999999994</v>
      </c>
      <c r="D27" s="15">
        <v>42.64</v>
      </c>
      <c r="E27" s="15">
        <v>23.46</v>
      </c>
      <c r="F27" s="15">
        <v>20.68</v>
      </c>
      <c r="G27" s="15">
        <v>6.32</v>
      </c>
      <c r="H27" s="15">
        <v>5.01</v>
      </c>
    </row>
    <row r="28" spans="1:8" x14ac:dyDescent="0.3">
      <c r="A28" s="1" t="s">
        <v>84</v>
      </c>
      <c r="B28" s="15">
        <v>-0.27</v>
      </c>
      <c r="C28" s="15">
        <v>64.81</v>
      </c>
      <c r="D28" s="15">
        <v>41.83</v>
      </c>
      <c r="E28" s="15">
        <v>23.01</v>
      </c>
      <c r="F28" s="15">
        <v>20.14</v>
      </c>
      <c r="G28" s="15">
        <v>6.15</v>
      </c>
      <c r="H28" s="15">
        <v>4.9000000000000004</v>
      </c>
    </row>
    <row r="29" spans="1:8" x14ac:dyDescent="0.3">
      <c r="B29" s="29"/>
      <c r="C29" s="29"/>
      <c r="D29" s="29"/>
      <c r="E29" s="29"/>
      <c r="F29" s="29"/>
      <c r="G29" s="29"/>
      <c r="H29" s="29"/>
    </row>
    <row r="30" spans="1:8" x14ac:dyDescent="0.3">
      <c r="A30" s="1" t="s">
        <v>87</v>
      </c>
      <c r="B30" s="1"/>
      <c r="C30" s="1"/>
      <c r="D30" s="1"/>
      <c r="E30" s="16"/>
      <c r="F30" s="16"/>
      <c r="G30" s="16"/>
    </row>
    <row r="31" spans="1:8" x14ac:dyDescent="0.3">
      <c r="A31" t="s">
        <v>85</v>
      </c>
      <c r="B31">
        <v>10189</v>
      </c>
      <c r="C31">
        <v>506</v>
      </c>
      <c r="D31">
        <v>500</v>
      </c>
      <c r="E31">
        <v>494</v>
      </c>
      <c r="F31">
        <v>487</v>
      </c>
      <c r="G31">
        <v>480</v>
      </c>
      <c r="H31">
        <v>474</v>
      </c>
    </row>
    <row r="32" spans="1:8" x14ac:dyDescent="0.3">
      <c r="A32" t="s">
        <v>86</v>
      </c>
      <c r="B32">
        <v>10189</v>
      </c>
      <c r="C32">
        <v>515</v>
      </c>
      <c r="D32">
        <v>510</v>
      </c>
      <c r="E32">
        <v>504</v>
      </c>
      <c r="F32">
        <v>500</v>
      </c>
      <c r="G32">
        <v>493</v>
      </c>
      <c r="H32">
        <v>484</v>
      </c>
    </row>
    <row r="34" spans="1:8" x14ac:dyDescent="0.3">
      <c r="A34" s="38" t="s">
        <v>11</v>
      </c>
      <c r="B34" s="38"/>
      <c r="C34" s="38"/>
      <c r="D34" s="38"/>
      <c r="E34" s="38"/>
      <c r="F34" s="38"/>
      <c r="G34" s="38"/>
    </row>
    <row r="35" spans="1:8" x14ac:dyDescent="0.3">
      <c r="E35" s="37" t="s">
        <v>56</v>
      </c>
      <c r="F35" s="37"/>
      <c r="G35" s="37"/>
    </row>
    <row r="36" spans="1:8" x14ac:dyDescent="0.3">
      <c r="B36" s="9">
        <v>2022</v>
      </c>
      <c r="C36" s="9">
        <v>2021</v>
      </c>
      <c r="D36" s="9">
        <v>2020</v>
      </c>
      <c r="E36" s="9">
        <v>2019</v>
      </c>
      <c r="F36" s="9">
        <v>2018</v>
      </c>
      <c r="G36" s="9">
        <v>2017</v>
      </c>
      <c r="H36" s="9">
        <v>2016</v>
      </c>
    </row>
    <row r="37" spans="1:8" x14ac:dyDescent="0.3">
      <c r="A37" t="s">
        <v>88</v>
      </c>
    </row>
    <row r="38" spans="1:8" x14ac:dyDescent="0.3">
      <c r="A38" t="s">
        <v>89</v>
      </c>
    </row>
    <row r="39" spans="1:8" x14ac:dyDescent="0.3">
      <c r="A39" s="1" t="s">
        <v>90</v>
      </c>
      <c r="B39" s="10">
        <v>53888</v>
      </c>
      <c r="C39" s="10">
        <v>36220</v>
      </c>
      <c r="D39" s="10">
        <v>42122</v>
      </c>
      <c r="E39" s="10">
        <v>36092</v>
      </c>
      <c r="F39" s="10">
        <v>31750</v>
      </c>
      <c r="G39" s="10">
        <v>20522</v>
      </c>
      <c r="H39">
        <v>19334</v>
      </c>
    </row>
    <row r="40" spans="1:8" x14ac:dyDescent="0.3">
      <c r="A40" s="1" t="s">
        <v>91</v>
      </c>
      <c r="B40" s="10">
        <v>16138</v>
      </c>
      <c r="C40" s="10">
        <v>59829</v>
      </c>
      <c r="D40" s="10">
        <v>42274</v>
      </c>
      <c r="E40" s="10">
        <v>18929</v>
      </c>
      <c r="F40" s="10">
        <v>9500</v>
      </c>
      <c r="G40" s="10">
        <v>10464</v>
      </c>
      <c r="H40">
        <v>6647</v>
      </c>
    </row>
    <row r="41" spans="1:8" x14ac:dyDescent="0.3">
      <c r="A41" s="1" t="s">
        <v>92</v>
      </c>
      <c r="B41" s="10">
        <v>34405</v>
      </c>
      <c r="C41" s="10">
        <v>32640</v>
      </c>
      <c r="D41" s="10">
        <v>23795</v>
      </c>
      <c r="E41" s="10">
        <v>20497</v>
      </c>
      <c r="F41" s="10">
        <v>17174</v>
      </c>
      <c r="G41" s="10">
        <v>16047</v>
      </c>
      <c r="H41">
        <v>11461</v>
      </c>
    </row>
    <row r="42" spans="1:8" x14ac:dyDescent="0.3">
      <c r="A42" s="1" t="s">
        <v>93</v>
      </c>
      <c r="B42" s="10">
        <v>42360</v>
      </c>
      <c r="C42" s="10">
        <v>32891</v>
      </c>
      <c r="D42" s="10">
        <v>24542</v>
      </c>
      <c r="E42" s="10">
        <v>20816</v>
      </c>
      <c r="F42" s="10">
        <v>16677</v>
      </c>
      <c r="G42" s="10">
        <v>13164</v>
      </c>
      <c r="H42">
        <v>8339</v>
      </c>
    </row>
    <row r="43" spans="1:8" x14ac:dyDescent="0.3">
      <c r="A43" s="11" t="s">
        <v>94</v>
      </c>
      <c r="B43" s="12">
        <f t="shared" ref="B43:C43" si="10">SUM(B39:B42)</f>
        <v>146791</v>
      </c>
      <c r="C43" s="12">
        <f t="shared" si="10"/>
        <v>161580</v>
      </c>
      <c r="D43" s="12">
        <f>SUM(D39:D42)</f>
        <v>132733</v>
      </c>
      <c r="E43" s="12">
        <f>SUM(E39:E42)</f>
        <v>96334</v>
      </c>
      <c r="F43" s="12">
        <f t="shared" ref="F43:H43" si="11">SUM(F39:F42)</f>
        <v>75101</v>
      </c>
      <c r="G43" s="12">
        <f t="shared" si="11"/>
        <v>60197</v>
      </c>
      <c r="H43" s="12">
        <f t="shared" si="11"/>
        <v>45781</v>
      </c>
    </row>
    <row r="44" spans="1:8" x14ac:dyDescent="0.3">
      <c r="E44" s="10"/>
      <c r="F44" s="10"/>
      <c r="G44" s="10"/>
    </row>
    <row r="45" spans="1:8" x14ac:dyDescent="0.3">
      <c r="A45" s="1" t="s">
        <v>155</v>
      </c>
      <c r="B45" s="1"/>
      <c r="C45" s="1"/>
      <c r="D45" s="1"/>
      <c r="E45" s="10"/>
      <c r="F45" s="10"/>
      <c r="G45" s="10"/>
    </row>
    <row r="46" spans="1:8" x14ac:dyDescent="0.3">
      <c r="A46" s="1" t="s">
        <v>95</v>
      </c>
      <c r="B46" s="10">
        <v>186715</v>
      </c>
      <c r="C46" s="10">
        <v>160281</v>
      </c>
      <c r="D46" s="10">
        <v>113114</v>
      </c>
      <c r="E46" s="10">
        <v>72705</v>
      </c>
      <c r="F46" s="10">
        <v>61797</v>
      </c>
      <c r="G46" s="10">
        <v>48866</v>
      </c>
      <c r="H46">
        <v>29114</v>
      </c>
    </row>
    <row r="47" spans="1:8" x14ac:dyDescent="0.3">
      <c r="A47" s="1" t="s">
        <v>96</v>
      </c>
      <c r="B47" s="10">
        <v>66123</v>
      </c>
      <c r="C47" s="10">
        <v>56082</v>
      </c>
      <c r="D47" s="10">
        <v>37553</v>
      </c>
      <c r="E47" s="10">
        <v>25141</v>
      </c>
      <c r="F47" s="10">
        <v>0</v>
      </c>
      <c r="G47" s="10">
        <v>0</v>
      </c>
      <c r="H47" s="10">
        <v>0</v>
      </c>
    </row>
    <row r="48" spans="1:8" x14ac:dyDescent="0.3">
      <c r="A48" s="1" t="s">
        <v>97</v>
      </c>
      <c r="B48" s="10">
        <v>20288</v>
      </c>
      <c r="C48" s="10">
        <v>15371</v>
      </c>
      <c r="D48" s="10">
        <v>15017</v>
      </c>
      <c r="E48" s="10">
        <v>14754</v>
      </c>
      <c r="F48" s="10">
        <v>14548</v>
      </c>
      <c r="G48" s="10">
        <v>13350</v>
      </c>
      <c r="H48">
        <v>3784</v>
      </c>
    </row>
    <row r="49" spans="1:8" x14ac:dyDescent="0.3">
      <c r="A49" s="1" t="s">
        <v>98</v>
      </c>
      <c r="B49" s="10">
        <v>42758</v>
      </c>
      <c r="C49" s="10">
        <v>27235</v>
      </c>
      <c r="D49" s="10">
        <v>22778</v>
      </c>
      <c r="E49" s="10">
        <v>16314</v>
      </c>
      <c r="F49" s="10">
        <v>11202</v>
      </c>
      <c r="G49" s="10">
        <v>8897</v>
      </c>
      <c r="H49">
        <v>4723</v>
      </c>
    </row>
    <row r="50" spans="1:8" x14ac:dyDescent="0.3">
      <c r="A50" s="11" t="s">
        <v>99</v>
      </c>
      <c r="B50" s="12">
        <f>SUM(B46:B49)</f>
        <v>315884</v>
      </c>
      <c r="C50" s="12">
        <f>SUM(C46:C49)</f>
        <v>258969</v>
      </c>
      <c r="D50" s="12">
        <f>SUM(D46:D49)</f>
        <v>188462</v>
      </c>
      <c r="E50" s="12">
        <f>SUM(E46:E49)</f>
        <v>128914</v>
      </c>
      <c r="F50" s="12">
        <f t="shared" ref="F50:H50" si="12">SUM(F46:F49)</f>
        <v>87547</v>
      </c>
      <c r="G50" s="12">
        <f t="shared" si="12"/>
        <v>71113</v>
      </c>
      <c r="H50" s="12">
        <f t="shared" si="12"/>
        <v>37621</v>
      </c>
    </row>
    <row r="51" spans="1:8" ht="15" thickBot="1" x14ac:dyDescent="0.35">
      <c r="A51" s="13" t="s">
        <v>100</v>
      </c>
      <c r="B51" s="14">
        <f t="shared" ref="B51:H51" si="13">B43+B50</f>
        <v>462675</v>
      </c>
      <c r="C51" s="14">
        <f t="shared" si="13"/>
        <v>420549</v>
      </c>
      <c r="D51" s="14">
        <f t="shared" si="13"/>
        <v>321195</v>
      </c>
      <c r="E51" s="14">
        <f t="shared" si="13"/>
        <v>225248</v>
      </c>
      <c r="F51" s="14">
        <f t="shared" si="13"/>
        <v>162648</v>
      </c>
      <c r="G51" s="14">
        <f t="shared" si="13"/>
        <v>131310</v>
      </c>
      <c r="H51" s="14">
        <f t="shared" si="13"/>
        <v>83402</v>
      </c>
    </row>
    <row r="52" spans="1:8" ht="15" thickTop="1" x14ac:dyDescent="0.3"/>
    <row r="53" spans="1:8" x14ac:dyDescent="0.3">
      <c r="A53" t="s">
        <v>101</v>
      </c>
    </row>
    <row r="54" spans="1:8" x14ac:dyDescent="0.3">
      <c r="A54" s="22" t="s">
        <v>102</v>
      </c>
      <c r="B54" s="22"/>
      <c r="C54" s="22"/>
      <c r="D54" s="22"/>
      <c r="E54" s="10"/>
      <c r="F54" s="10"/>
      <c r="G54" s="10"/>
    </row>
    <row r="55" spans="1:8" x14ac:dyDescent="0.3">
      <c r="A55" s="1" t="s">
        <v>103</v>
      </c>
      <c r="B55" s="10">
        <v>79600</v>
      </c>
      <c r="C55" s="10">
        <v>78664</v>
      </c>
      <c r="D55" s="10">
        <v>72539</v>
      </c>
      <c r="E55" s="10">
        <v>47183</v>
      </c>
      <c r="F55" s="10">
        <v>38192</v>
      </c>
      <c r="G55" s="10">
        <v>34616</v>
      </c>
      <c r="H55">
        <v>25309</v>
      </c>
    </row>
    <row r="56" spans="1:8" x14ac:dyDescent="0.3">
      <c r="A56" s="1" t="s">
        <v>104</v>
      </c>
      <c r="B56" s="10">
        <v>62566</v>
      </c>
      <c r="C56" s="10">
        <v>51775</v>
      </c>
      <c r="D56" s="10">
        <v>44138</v>
      </c>
      <c r="E56" s="10">
        <v>32439</v>
      </c>
      <c r="F56" s="10">
        <v>23663</v>
      </c>
      <c r="G56" s="10">
        <v>18170</v>
      </c>
      <c r="H56">
        <v>13739</v>
      </c>
    </row>
    <row r="57" spans="1:8" x14ac:dyDescent="0.3">
      <c r="A57" s="1" t="s">
        <v>105</v>
      </c>
      <c r="B57" s="10">
        <v>13227</v>
      </c>
      <c r="C57" s="10">
        <v>11827</v>
      </c>
      <c r="D57" s="10">
        <v>9708</v>
      </c>
      <c r="E57" s="10">
        <v>8190</v>
      </c>
      <c r="F57" s="10">
        <v>6536</v>
      </c>
      <c r="G57" s="10">
        <v>5097</v>
      </c>
      <c r="H57">
        <v>4768</v>
      </c>
    </row>
    <row r="58" spans="1:8" x14ac:dyDescent="0.3">
      <c r="A58" s="11" t="s">
        <v>106</v>
      </c>
      <c r="B58" s="12">
        <f t="shared" ref="B58:C58" si="14">SUM(B55:B57)</f>
        <v>155393</v>
      </c>
      <c r="C58" s="12">
        <f t="shared" si="14"/>
        <v>142266</v>
      </c>
      <c r="D58" s="12">
        <f>SUM(D55:D57)</f>
        <v>126385</v>
      </c>
      <c r="E58" s="12">
        <f>SUM(E55:E57)</f>
        <v>87812</v>
      </c>
      <c r="F58" s="12">
        <f t="shared" ref="F58:H58" si="15">SUM(F55:F57)</f>
        <v>68391</v>
      </c>
      <c r="G58" s="12">
        <f t="shared" si="15"/>
        <v>57883</v>
      </c>
      <c r="H58" s="12">
        <f t="shared" si="15"/>
        <v>43816</v>
      </c>
    </row>
    <row r="59" spans="1:8" x14ac:dyDescent="0.3">
      <c r="E59" s="10"/>
      <c r="F59" s="10"/>
      <c r="G59" s="10"/>
    </row>
    <row r="60" spans="1:8" x14ac:dyDescent="0.3">
      <c r="A60" s="1" t="s">
        <v>107</v>
      </c>
      <c r="B60" s="10">
        <v>72968</v>
      </c>
      <c r="C60" s="10">
        <v>67651</v>
      </c>
      <c r="D60" s="10">
        <v>52573</v>
      </c>
      <c r="E60" s="10">
        <v>39791</v>
      </c>
      <c r="F60" s="10">
        <v>9650</v>
      </c>
      <c r="G60" s="10">
        <v>0</v>
      </c>
    </row>
    <row r="61" spans="1:8" x14ac:dyDescent="0.3">
      <c r="A61" s="1" t="s">
        <v>108</v>
      </c>
      <c r="B61" s="10">
        <v>67150</v>
      </c>
      <c r="C61" s="10">
        <v>48744</v>
      </c>
      <c r="D61" s="10">
        <v>31816</v>
      </c>
      <c r="E61" s="10">
        <v>23414</v>
      </c>
      <c r="F61" s="10">
        <v>23495</v>
      </c>
      <c r="G61" s="10">
        <v>24743</v>
      </c>
      <c r="H61">
        <v>7694</v>
      </c>
    </row>
    <row r="62" spans="1:8" x14ac:dyDescent="0.3">
      <c r="A62" s="1" t="s">
        <v>109</v>
      </c>
      <c r="B62" s="10">
        <v>21121</v>
      </c>
      <c r="C62" s="10">
        <v>23643</v>
      </c>
      <c r="D62" s="10">
        <v>17017</v>
      </c>
      <c r="E62" s="10">
        <v>12171</v>
      </c>
      <c r="F62" s="10">
        <v>17563</v>
      </c>
      <c r="G62" s="10">
        <v>20975</v>
      </c>
      <c r="H62">
        <v>12607</v>
      </c>
    </row>
    <row r="63" spans="1:8" x14ac:dyDescent="0.3">
      <c r="A63" s="11" t="s">
        <v>110</v>
      </c>
      <c r="B63" s="12">
        <f>SUM(B60:B62)</f>
        <v>161239</v>
      </c>
      <c r="C63" s="12">
        <f>SUM(C60:C62)</f>
        <v>140038</v>
      </c>
      <c r="D63" s="12">
        <f>SUM(D60:D62)</f>
        <v>101406</v>
      </c>
      <c r="E63" s="12">
        <f>SUM(E60:E62)</f>
        <v>75376</v>
      </c>
      <c r="F63" s="12">
        <f t="shared" ref="F63:H63" si="16">SUM(F60:F62)</f>
        <v>50708</v>
      </c>
      <c r="G63" s="12">
        <f t="shared" si="16"/>
        <v>45718</v>
      </c>
      <c r="H63" s="12">
        <f t="shared" si="16"/>
        <v>20301</v>
      </c>
    </row>
    <row r="64" spans="1:8" x14ac:dyDescent="0.3">
      <c r="E64" s="10"/>
      <c r="F64" s="10"/>
      <c r="G64" s="10"/>
    </row>
    <row r="65" spans="1:8" x14ac:dyDescent="0.3">
      <c r="A65" s="22" t="s">
        <v>111</v>
      </c>
      <c r="B65" s="22"/>
      <c r="C65" s="22"/>
      <c r="D65" s="22"/>
      <c r="E65" s="10"/>
      <c r="F65" s="10"/>
      <c r="G65" s="10"/>
    </row>
    <row r="66" spans="1:8" x14ac:dyDescent="0.3">
      <c r="A66" s="1" t="s">
        <v>116</v>
      </c>
      <c r="B66" s="10">
        <v>0</v>
      </c>
      <c r="C66" s="10">
        <v>0</v>
      </c>
      <c r="D66" s="10">
        <v>0</v>
      </c>
      <c r="E66" s="10">
        <v>0</v>
      </c>
      <c r="F66" s="10">
        <v>0</v>
      </c>
      <c r="G66" s="10">
        <v>0</v>
      </c>
      <c r="H66" s="10">
        <v>0</v>
      </c>
    </row>
    <row r="67" spans="1:8" x14ac:dyDescent="0.3">
      <c r="A67" s="1" t="s">
        <v>117</v>
      </c>
      <c r="B67" s="10">
        <v>108</v>
      </c>
      <c r="C67" s="10">
        <v>5</v>
      </c>
      <c r="D67" s="10">
        <v>5</v>
      </c>
      <c r="E67" s="10">
        <v>5</v>
      </c>
      <c r="F67" s="10">
        <v>5</v>
      </c>
      <c r="G67" s="10">
        <v>5</v>
      </c>
      <c r="H67">
        <v>5</v>
      </c>
    </row>
    <row r="68" spans="1:8" x14ac:dyDescent="0.3">
      <c r="A68" s="1" t="s">
        <v>112</v>
      </c>
      <c r="B68" s="10">
        <v>-7837</v>
      </c>
      <c r="C68" s="10">
        <v>-1837</v>
      </c>
      <c r="D68" s="10">
        <v>-1837</v>
      </c>
      <c r="E68" s="10">
        <v>-1837</v>
      </c>
      <c r="F68" s="10">
        <v>-1837</v>
      </c>
      <c r="G68" s="10">
        <v>-1837</v>
      </c>
      <c r="H68">
        <v>-1837</v>
      </c>
    </row>
    <row r="69" spans="1:8" x14ac:dyDescent="0.3">
      <c r="A69" s="1" t="s">
        <v>113</v>
      </c>
      <c r="B69" s="10">
        <v>75066</v>
      </c>
      <c r="C69" s="10">
        <v>55538</v>
      </c>
      <c r="D69" s="10">
        <v>42865</v>
      </c>
      <c r="E69" s="10">
        <v>33658</v>
      </c>
      <c r="F69" s="10">
        <v>26791</v>
      </c>
      <c r="G69" s="10">
        <v>21389</v>
      </c>
      <c r="H69">
        <v>17186</v>
      </c>
    </row>
    <row r="70" spans="1:8" x14ac:dyDescent="0.3">
      <c r="A70" s="1" t="s">
        <v>114</v>
      </c>
      <c r="B70" s="10">
        <v>-4487</v>
      </c>
      <c r="C70" s="10">
        <v>-1376</v>
      </c>
      <c r="D70" s="10">
        <v>-180</v>
      </c>
      <c r="E70" s="10">
        <v>-986</v>
      </c>
      <c r="F70" s="10">
        <v>-1035</v>
      </c>
      <c r="G70" s="10">
        <v>-484</v>
      </c>
      <c r="H70">
        <v>-985</v>
      </c>
    </row>
    <row r="71" spans="1:8" x14ac:dyDescent="0.3">
      <c r="A71" s="1" t="s">
        <v>115</v>
      </c>
      <c r="B71" s="10">
        <v>83193</v>
      </c>
      <c r="C71" s="10">
        <v>85915</v>
      </c>
      <c r="D71" s="10">
        <v>52551</v>
      </c>
      <c r="E71" s="10">
        <v>31220</v>
      </c>
      <c r="F71" s="10">
        <v>19625</v>
      </c>
      <c r="G71" s="10">
        <v>8636</v>
      </c>
      <c r="H71">
        <v>4916</v>
      </c>
    </row>
    <row r="72" spans="1:8" x14ac:dyDescent="0.3">
      <c r="A72" s="11" t="s">
        <v>118</v>
      </c>
      <c r="B72" s="12">
        <f t="shared" ref="B72" si="17">SUM(B66:B71)</f>
        <v>146043</v>
      </c>
      <c r="C72" s="12">
        <f t="shared" ref="C72:H72" si="18">SUM(C66:C71)</f>
        <v>138245</v>
      </c>
      <c r="D72" s="12">
        <f t="shared" si="18"/>
        <v>93404</v>
      </c>
      <c r="E72" s="12">
        <f t="shared" si="18"/>
        <v>62060</v>
      </c>
      <c r="F72" s="12">
        <f t="shared" si="18"/>
        <v>43549</v>
      </c>
      <c r="G72" s="12">
        <f t="shared" si="18"/>
        <v>27709</v>
      </c>
      <c r="H72" s="12">
        <f t="shared" si="18"/>
        <v>19285</v>
      </c>
    </row>
    <row r="73" spans="1:8" ht="15" thickBot="1" x14ac:dyDescent="0.35">
      <c r="A73" s="13" t="s">
        <v>119</v>
      </c>
      <c r="B73" s="14">
        <f t="shared" ref="B73:H73" si="19">B63+B72+B58</f>
        <v>462675</v>
      </c>
      <c r="C73" s="14">
        <f t="shared" si="19"/>
        <v>420549</v>
      </c>
      <c r="D73" s="14">
        <f t="shared" si="19"/>
        <v>321195</v>
      </c>
      <c r="E73" s="14">
        <f t="shared" si="19"/>
        <v>225248</v>
      </c>
      <c r="F73" s="14">
        <f t="shared" si="19"/>
        <v>162648</v>
      </c>
      <c r="G73" s="14">
        <f t="shared" si="19"/>
        <v>131310</v>
      </c>
      <c r="H73" s="14">
        <f t="shared" si="19"/>
        <v>83402</v>
      </c>
    </row>
    <row r="74" spans="1:8" ht="15" thickTop="1" x14ac:dyDescent="0.3">
      <c r="A74" s="9"/>
      <c r="B74" s="24"/>
      <c r="C74" s="24"/>
      <c r="D74" s="24"/>
      <c r="E74" s="24"/>
      <c r="F74" s="24"/>
      <c r="G74" s="24"/>
      <c r="H74" s="24"/>
    </row>
    <row r="75" spans="1:8" x14ac:dyDescent="0.3">
      <c r="A75" t="s">
        <v>159</v>
      </c>
      <c r="B75" s="24"/>
      <c r="C75" s="24"/>
      <c r="D75" s="24"/>
      <c r="E75" s="24"/>
      <c r="F75" s="24"/>
      <c r="G75" s="24"/>
      <c r="H75" s="24"/>
    </row>
    <row r="77" spans="1:8" x14ac:dyDescent="0.3">
      <c r="A77" s="38" t="s">
        <v>12</v>
      </c>
      <c r="B77" s="38"/>
      <c r="C77" s="38"/>
      <c r="D77" s="38"/>
      <c r="E77" s="38"/>
      <c r="F77" s="38"/>
      <c r="G77" s="38"/>
    </row>
    <row r="78" spans="1:8" x14ac:dyDescent="0.3">
      <c r="E78" s="37" t="s">
        <v>55</v>
      </c>
      <c r="F78" s="37"/>
      <c r="G78" s="37"/>
    </row>
    <row r="79" spans="1:8" x14ac:dyDescent="0.3">
      <c r="B79" s="9">
        <v>2022</v>
      </c>
      <c r="C79" s="9">
        <v>2021</v>
      </c>
      <c r="D79" s="9">
        <v>2020</v>
      </c>
      <c r="E79" s="9">
        <v>2019</v>
      </c>
      <c r="F79" s="9">
        <v>2018</v>
      </c>
      <c r="G79" s="9">
        <v>2017</v>
      </c>
    </row>
    <row r="80" spans="1:8" x14ac:dyDescent="0.3">
      <c r="A80" t="s">
        <v>120</v>
      </c>
      <c r="B80">
        <v>36477</v>
      </c>
      <c r="C80">
        <v>42377</v>
      </c>
      <c r="D80">
        <v>36410</v>
      </c>
      <c r="E80">
        <v>32173</v>
      </c>
      <c r="F80">
        <v>21856</v>
      </c>
      <c r="G80">
        <v>19934</v>
      </c>
    </row>
    <row r="81" spans="1:8" x14ac:dyDescent="0.3">
      <c r="A81" s="9" t="s">
        <v>121</v>
      </c>
      <c r="B81" s="9"/>
      <c r="C81" s="9"/>
      <c r="D81" s="9"/>
      <c r="E81" s="17"/>
      <c r="F81" s="17"/>
      <c r="G81" s="17"/>
    </row>
    <row r="82" spans="1:8" x14ac:dyDescent="0.3">
      <c r="A82" s="9" t="s">
        <v>82</v>
      </c>
      <c r="B82" s="17">
        <v>-2722</v>
      </c>
      <c r="C82" s="17">
        <v>33364</v>
      </c>
      <c r="D82" s="17">
        <v>21331</v>
      </c>
      <c r="E82" s="17">
        <v>11588</v>
      </c>
      <c r="F82" s="17">
        <v>10073</v>
      </c>
      <c r="G82" s="17">
        <v>3033</v>
      </c>
    </row>
    <row r="83" spans="1:8" x14ac:dyDescent="0.3">
      <c r="A83" t="s">
        <v>122</v>
      </c>
      <c r="B83" s="10"/>
      <c r="C83" s="10"/>
      <c r="E83" s="10"/>
      <c r="F83" s="10"/>
      <c r="G83" s="10"/>
    </row>
    <row r="84" spans="1:8" x14ac:dyDescent="0.3">
      <c r="A84" s="18" t="s">
        <v>123</v>
      </c>
      <c r="B84" s="10"/>
      <c r="C84" s="10"/>
      <c r="D84" s="18"/>
      <c r="E84" s="17"/>
      <c r="F84" s="17"/>
      <c r="G84" s="17"/>
    </row>
    <row r="85" spans="1:8" x14ac:dyDescent="0.3">
      <c r="A85" s="1" t="s">
        <v>129</v>
      </c>
      <c r="B85" s="10">
        <v>41921</v>
      </c>
      <c r="C85" s="10">
        <v>34296</v>
      </c>
      <c r="D85" s="10">
        <v>25251</v>
      </c>
      <c r="E85" s="10">
        <v>21789</v>
      </c>
      <c r="F85" s="10">
        <v>15341</v>
      </c>
      <c r="G85" s="10">
        <v>11478</v>
      </c>
    </row>
    <row r="86" spans="1:8" x14ac:dyDescent="0.3">
      <c r="A86" s="1" t="s">
        <v>124</v>
      </c>
      <c r="B86" s="10">
        <v>19621</v>
      </c>
      <c r="C86" s="10">
        <v>12757</v>
      </c>
      <c r="D86" s="10">
        <v>9208</v>
      </c>
      <c r="E86" s="10">
        <v>6864</v>
      </c>
      <c r="F86" s="10">
        <v>5418</v>
      </c>
      <c r="G86" s="10">
        <v>4215</v>
      </c>
    </row>
    <row r="87" spans="1:8" x14ac:dyDescent="0.3">
      <c r="A87" s="1" t="s">
        <v>70</v>
      </c>
      <c r="B87" s="10">
        <v>0</v>
      </c>
      <c r="C87" s="10">
        <v>137</v>
      </c>
      <c r="D87" s="10">
        <v>-71</v>
      </c>
      <c r="E87" s="10">
        <v>164</v>
      </c>
      <c r="F87" s="10">
        <v>274</v>
      </c>
      <c r="G87" s="10">
        <v>202</v>
      </c>
    </row>
    <row r="88" spans="1:8" x14ac:dyDescent="0.3">
      <c r="A88" s="1" t="s">
        <v>125</v>
      </c>
      <c r="B88" s="10">
        <v>16966</v>
      </c>
      <c r="C88" s="10">
        <v>-14306</v>
      </c>
      <c r="D88" s="10">
        <v>-2582</v>
      </c>
      <c r="E88" s="10">
        <v>-249</v>
      </c>
      <c r="F88" s="10">
        <v>219</v>
      </c>
      <c r="G88" s="10">
        <v>-292</v>
      </c>
    </row>
    <row r="89" spans="1:8" x14ac:dyDescent="0.3">
      <c r="A89" s="1" t="s">
        <v>126</v>
      </c>
      <c r="B89" s="10">
        <v>-8148</v>
      </c>
      <c r="C89" s="10">
        <v>-310</v>
      </c>
      <c r="D89" s="10">
        <v>-554</v>
      </c>
      <c r="E89" s="10">
        <v>796</v>
      </c>
      <c r="F89" s="10">
        <v>441</v>
      </c>
      <c r="G89" s="10">
        <v>-29</v>
      </c>
    </row>
    <row r="90" spans="1:8" x14ac:dyDescent="0.3">
      <c r="A90" s="1" t="s">
        <v>127</v>
      </c>
      <c r="B90" s="10"/>
      <c r="C90" s="10"/>
      <c r="D90" s="1"/>
      <c r="E90" s="10"/>
      <c r="F90" s="10"/>
      <c r="G90" s="10"/>
    </row>
    <row r="91" spans="1:8" x14ac:dyDescent="0.3">
      <c r="A91" s="1" t="s">
        <v>92</v>
      </c>
      <c r="B91" s="10">
        <v>-2592</v>
      </c>
      <c r="C91" s="10">
        <v>-9487</v>
      </c>
      <c r="D91" s="10">
        <v>-2849</v>
      </c>
      <c r="E91" s="10">
        <v>-3278</v>
      </c>
      <c r="F91" s="10">
        <v>-1314</v>
      </c>
      <c r="G91" s="10">
        <v>-3583</v>
      </c>
      <c r="H91" s="32"/>
    </row>
    <row r="92" spans="1:8" x14ac:dyDescent="0.3">
      <c r="A92" s="1" t="s">
        <v>93</v>
      </c>
      <c r="B92" s="10">
        <v>-21897</v>
      </c>
      <c r="C92" s="10">
        <v>-18163</v>
      </c>
      <c r="D92" s="10">
        <v>-8169</v>
      </c>
      <c r="E92" s="10">
        <v>-7681</v>
      </c>
      <c r="F92" s="10">
        <v>-4615</v>
      </c>
      <c r="G92" s="10">
        <v>-4780</v>
      </c>
    </row>
    <row r="93" spans="1:8" x14ac:dyDescent="0.3">
      <c r="A93" s="1" t="s">
        <v>103</v>
      </c>
      <c r="B93" s="10">
        <v>2945</v>
      </c>
      <c r="C93" s="10">
        <v>3602</v>
      </c>
      <c r="D93" s="10">
        <v>17480</v>
      </c>
      <c r="E93" s="10">
        <v>8193</v>
      </c>
      <c r="F93" s="10">
        <v>3263</v>
      </c>
      <c r="G93" s="10">
        <v>7100</v>
      </c>
    </row>
    <row r="94" spans="1:8" x14ac:dyDescent="0.3">
      <c r="A94" s="1" t="s">
        <v>104</v>
      </c>
      <c r="B94" s="10">
        <v>-1558</v>
      </c>
      <c r="C94" s="10">
        <v>2123</v>
      </c>
      <c r="D94" s="10">
        <v>5754</v>
      </c>
      <c r="E94" s="10">
        <v>-1383</v>
      </c>
      <c r="F94" s="10">
        <v>472</v>
      </c>
      <c r="G94" s="10">
        <v>283</v>
      </c>
    </row>
    <row r="95" spans="1:8" x14ac:dyDescent="0.3">
      <c r="A95" s="1" t="s">
        <v>105</v>
      </c>
      <c r="B95" s="10">
        <v>2216</v>
      </c>
      <c r="C95" s="10">
        <v>2314</v>
      </c>
      <c r="D95" s="10">
        <v>1265</v>
      </c>
      <c r="E95" s="10">
        <v>1711</v>
      </c>
      <c r="F95" s="10">
        <v>1151</v>
      </c>
      <c r="G95" s="10">
        <v>738</v>
      </c>
    </row>
    <row r="96" spans="1:8" x14ac:dyDescent="0.3">
      <c r="A96" s="11" t="s">
        <v>128</v>
      </c>
      <c r="B96" s="12">
        <f t="shared" ref="B96:C96" si="20">SUM(B82:B95)</f>
        <v>46752</v>
      </c>
      <c r="C96" s="12">
        <f t="shared" si="20"/>
        <v>46327</v>
      </c>
      <c r="D96" s="12">
        <f>SUM(D82:D95)</f>
        <v>66064</v>
      </c>
      <c r="E96" s="12">
        <f>SUM(E82:E95)</f>
        <v>38514</v>
      </c>
      <c r="F96" s="12">
        <f t="shared" ref="F96:G96" si="21">SUM(F82:F95)</f>
        <v>30723</v>
      </c>
      <c r="G96" s="12">
        <f t="shared" si="21"/>
        <v>18365</v>
      </c>
    </row>
    <row r="97" spans="1:7" x14ac:dyDescent="0.3">
      <c r="A97" s="9" t="s">
        <v>130</v>
      </c>
      <c r="B97" s="9"/>
      <c r="C97" s="9"/>
      <c r="D97" s="9"/>
      <c r="E97" s="10"/>
      <c r="F97" s="10"/>
      <c r="G97" s="10"/>
    </row>
    <row r="98" spans="1:7" x14ac:dyDescent="0.3">
      <c r="A98" s="1" t="s">
        <v>131</v>
      </c>
      <c r="B98" s="10">
        <v>-63645</v>
      </c>
      <c r="C98" s="10">
        <v>-61053</v>
      </c>
      <c r="D98" s="10">
        <v>-40140</v>
      </c>
      <c r="E98" s="10">
        <v>-16861</v>
      </c>
      <c r="F98" s="10">
        <v>-13427</v>
      </c>
      <c r="G98" s="10">
        <v>-11955</v>
      </c>
    </row>
    <row r="99" spans="1:7" x14ac:dyDescent="0.3">
      <c r="A99" s="1" t="s">
        <v>132</v>
      </c>
      <c r="B99" s="10">
        <v>5324</v>
      </c>
      <c r="C99" s="10">
        <v>5657</v>
      </c>
      <c r="D99" s="10">
        <v>5096</v>
      </c>
      <c r="E99" s="10">
        <v>4172</v>
      </c>
      <c r="F99" s="10">
        <v>2104</v>
      </c>
      <c r="G99" s="10">
        <v>1897</v>
      </c>
    </row>
    <row r="100" spans="1:7" x14ac:dyDescent="0.3">
      <c r="A100" s="1" t="s">
        <v>133</v>
      </c>
      <c r="B100" s="10">
        <v>-8316</v>
      </c>
      <c r="C100" s="10">
        <v>-1985</v>
      </c>
      <c r="D100" s="10">
        <v>-2325</v>
      </c>
      <c r="E100" s="10">
        <v>-2461</v>
      </c>
      <c r="F100" s="10">
        <v>-2186</v>
      </c>
      <c r="G100" s="10">
        <v>-13972</v>
      </c>
    </row>
    <row r="101" spans="1:7" x14ac:dyDescent="0.3">
      <c r="A101" s="1" t="s">
        <v>134</v>
      </c>
      <c r="B101" s="10">
        <v>31601</v>
      </c>
      <c r="C101" s="10">
        <v>59384</v>
      </c>
      <c r="D101" s="10">
        <v>50237</v>
      </c>
      <c r="E101" s="10">
        <v>22681</v>
      </c>
      <c r="F101" s="10">
        <v>8240</v>
      </c>
      <c r="G101" s="10">
        <v>9677</v>
      </c>
    </row>
    <row r="102" spans="1:7" x14ac:dyDescent="0.3">
      <c r="A102" s="1" t="s">
        <v>135</v>
      </c>
      <c r="B102" s="10">
        <v>-2565</v>
      </c>
      <c r="C102" s="10">
        <v>-60157</v>
      </c>
      <c r="D102" s="10">
        <v>-72479</v>
      </c>
      <c r="E102" s="10">
        <v>-31812</v>
      </c>
      <c r="F102" s="10">
        <v>-7100</v>
      </c>
      <c r="G102" s="10">
        <v>-12731</v>
      </c>
    </row>
    <row r="103" spans="1:7" x14ac:dyDescent="0.3">
      <c r="A103" s="11" t="s">
        <v>136</v>
      </c>
      <c r="B103" s="12">
        <f t="shared" ref="B103:C103" si="22">SUM(B98:B102)</f>
        <v>-37601</v>
      </c>
      <c r="C103" s="12">
        <f t="shared" si="22"/>
        <v>-58154</v>
      </c>
      <c r="D103" s="12">
        <f>SUM(D98:D102)</f>
        <v>-59611</v>
      </c>
      <c r="E103" s="12">
        <f>SUM(E98:E102)</f>
        <v>-24281</v>
      </c>
      <c r="F103" s="12">
        <f t="shared" ref="F103:G103" si="23">SUM(F98:F102)</f>
        <v>-12369</v>
      </c>
      <c r="G103" s="12">
        <f t="shared" si="23"/>
        <v>-27084</v>
      </c>
    </row>
    <row r="104" spans="1:7" x14ac:dyDescent="0.3">
      <c r="A104" s="9" t="s">
        <v>137</v>
      </c>
      <c r="B104" s="9"/>
      <c r="C104" s="9"/>
      <c r="D104" s="9"/>
      <c r="E104" s="10"/>
      <c r="F104" s="10"/>
      <c r="G104" s="10"/>
    </row>
    <row r="105" spans="1:7" x14ac:dyDescent="0.3">
      <c r="A105" s="1" t="s">
        <v>158</v>
      </c>
      <c r="B105" s="10">
        <v>-6000</v>
      </c>
      <c r="C105" s="10">
        <v>0</v>
      </c>
      <c r="D105" s="10">
        <v>0</v>
      </c>
      <c r="E105" s="10">
        <v>0</v>
      </c>
      <c r="F105" s="10">
        <v>0</v>
      </c>
      <c r="G105" s="10">
        <v>0</v>
      </c>
    </row>
    <row r="106" spans="1:7" x14ac:dyDescent="0.3">
      <c r="A106" s="1" t="s">
        <v>156</v>
      </c>
      <c r="B106" s="10">
        <v>41553</v>
      </c>
      <c r="C106" s="10">
        <v>7956</v>
      </c>
      <c r="D106" s="10">
        <v>6796</v>
      </c>
      <c r="E106" s="10">
        <v>0</v>
      </c>
      <c r="F106" s="10">
        <v>0</v>
      </c>
      <c r="G106" s="10">
        <v>0</v>
      </c>
    </row>
    <row r="107" spans="1:7" x14ac:dyDescent="0.3">
      <c r="A107" s="1" t="s">
        <v>157</v>
      </c>
      <c r="B107" s="10">
        <v>-37554</v>
      </c>
      <c r="C107" s="10">
        <v>-7753</v>
      </c>
      <c r="D107" s="10">
        <v>-6177</v>
      </c>
      <c r="E107" s="10">
        <v>0</v>
      </c>
      <c r="F107" s="10">
        <v>0</v>
      </c>
      <c r="G107" s="10">
        <v>0</v>
      </c>
    </row>
    <row r="108" spans="1:7" x14ac:dyDescent="0.3">
      <c r="A108" s="1" t="s">
        <v>138</v>
      </c>
      <c r="B108" s="10">
        <v>21166</v>
      </c>
      <c r="C108" s="10">
        <v>19003</v>
      </c>
      <c r="D108" s="10">
        <v>10525</v>
      </c>
      <c r="E108" s="10">
        <v>2273</v>
      </c>
      <c r="F108" s="10">
        <v>768</v>
      </c>
      <c r="G108" s="10">
        <v>16228</v>
      </c>
    </row>
    <row r="109" spans="1:7" x14ac:dyDescent="0.3">
      <c r="A109" s="1" t="s">
        <v>139</v>
      </c>
      <c r="B109" s="10">
        <v>-1258</v>
      </c>
      <c r="C109" s="10">
        <v>-1590</v>
      </c>
      <c r="D109" s="10">
        <v>-1553</v>
      </c>
      <c r="E109" s="10">
        <v>-2684</v>
      </c>
      <c r="F109" s="10">
        <v>-668</v>
      </c>
      <c r="G109" s="10">
        <v>-1301</v>
      </c>
    </row>
    <row r="110" spans="1:7" x14ac:dyDescent="0.3">
      <c r="A110" s="1" t="s">
        <v>140</v>
      </c>
      <c r="B110" s="10">
        <v>-7941</v>
      </c>
      <c r="C110" s="10">
        <v>-11163</v>
      </c>
      <c r="D110" s="10">
        <v>-10642</v>
      </c>
      <c r="E110" s="10">
        <v>-9628</v>
      </c>
      <c r="F110" s="10">
        <v>-7449</v>
      </c>
      <c r="G110" s="10">
        <v>-4799</v>
      </c>
    </row>
    <row r="111" spans="1:7" x14ac:dyDescent="0.3">
      <c r="A111" s="1" t="s">
        <v>141</v>
      </c>
      <c r="B111" s="10">
        <v>-248</v>
      </c>
      <c r="C111" s="10">
        <v>-162</v>
      </c>
      <c r="D111" s="10">
        <v>-53</v>
      </c>
      <c r="E111" s="10">
        <v>-27</v>
      </c>
      <c r="F111" s="10">
        <v>-337</v>
      </c>
      <c r="G111" s="10">
        <v>-200</v>
      </c>
    </row>
    <row r="112" spans="1:7" x14ac:dyDescent="0.3">
      <c r="A112" s="11" t="s">
        <v>142</v>
      </c>
      <c r="B112" s="12">
        <f t="shared" ref="B112" si="24">SUM(B105:B111)</f>
        <v>9718</v>
      </c>
      <c r="C112" s="12">
        <f>SUM(C105:C111)</f>
        <v>6291</v>
      </c>
      <c r="D112" s="12">
        <f t="shared" ref="D112:G112" si="25">SUM(D105:D111)</f>
        <v>-1104</v>
      </c>
      <c r="E112" s="12">
        <f t="shared" si="25"/>
        <v>-10066</v>
      </c>
      <c r="F112" s="12">
        <f t="shared" si="25"/>
        <v>-7686</v>
      </c>
      <c r="G112" s="12">
        <f t="shared" si="25"/>
        <v>9928</v>
      </c>
    </row>
    <row r="113" spans="1:7" x14ac:dyDescent="0.3">
      <c r="A113" s="23" t="s">
        <v>150</v>
      </c>
      <c r="B113" s="12">
        <v>-1093</v>
      </c>
      <c r="C113" s="12">
        <v>-364</v>
      </c>
      <c r="D113" s="12">
        <v>618</v>
      </c>
      <c r="E113" s="12">
        <v>70</v>
      </c>
      <c r="F113" s="12">
        <v>-351</v>
      </c>
      <c r="G113" s="12">
        <v>713</v>
      </c>
    </row>
    <row r="114" spans="1:7" x14ac:dyDescent="0.3">
      <c r="A114" s="11" t="s">
        <v>151</v>
      </c>
      <c r="B114" s="12">
        <f t="shared" ref="B114:G114" si="26">B96+B103+B112+B113</f>
        <v>17776</v>
      </c>
      <c r="C114" s="12">
        <f t="shared" si="26"/>
        <v>-5900</v>
      </c>
      <c r="D114" s="12">
        <f t="shared" si="26"/>
        <v>5967</v>
      </c>
      <c r="E114" s="12">
        <f t="shared" si="26"/>
        <v>4237</v>
      </c>
      <c r="F114" s="12">
        <f t="shared" si="26"/>
        <v>10317</v>
      </c>
      <c r="G114" s="12">
        <f t="shared" si="26"/>
        <v>1922</v>
      </c>
    </row>
    <row r="115" spans="1:7" ht="15" thickBot="1" x14ac:dyDescent="0.35">
      <c r="A115" s="13" t="s">
        <v>152</v>
      </c>
      <c r="B115" s="14">
        <f t="shared" ref="B115:G115" si="27">B80+B114</f>
        <v>54253</v>
      </c>
      <c r="C115" s="14">
        <f t="shared" si="27"/>
        <v>36477</v>
      </c>
      <c r="D115" s="14">
        <f t="shared" si="27"/>
        <v>42377</v>
      </c>
      <c r="E115" s="14">
        <f t="shared" si="27"/>
        <v>36410</v>
      </c>
      <c r="F115" s="14">
        <f t="shared" si="27"/>
        <v>32173</v>
      </c>
      <c r="G115" s="14">
        <f t="shared" si="27"/>
        <v>21856</v>
      </c>
    </row>
    <row r="116" spans="1:7" ht="15" thickTop="1" x14ac:dyDescent="0.3">
      <c r="A116" t="s">
        <v>143</v>
      </c>
      <c r="E116" s="10"/>
      <c r="F116" s="10"/>
      <c r="G116" s="10"/>
    </row>
    <row r="117" spans="1:7" x14ac:dyDescent="0.3">
      <c r="E117" s="10"/>
      <c r="F117" s="10"/>
      <c r="G117" s="10"/>
    </row>
    <row r="118" spans="1:7" x14ac:dyDescent="0.3">
      <c r="A118" t="s">
        <v>144</v>
      </c>
      <c r="E118" s="10">
        <v>875</v>
      </c>
      <c r="F118" s="10">
        <v>854</v>
      </c>
      <c r="G118" s="10">
        <v>328</v>
      </c>
    </row>
    <row r="119" spans="1:7" x14ac:dyDescent="0.3">
      <c r="A119" t="s">
        <v>145</v>
      </c>
      <c r="E119" s="10">
        <v>3361</v>
      </c>
      <c r="F119" s="10">
        <v>0</v>
      </c>
      <c r="G119" s="10">
        <v>0</v>
      </c>
    </row>
    <row r="120" spans="1:7" x14ac:dyDescent="0.3">
      <c r="A120" t="s">
        <v>146</v>
      </c>
      <c r="E120" s="10">
        <v>647</v>
      </c>
      <c r="F120" s="10">
        <v>381</v>
      </c>
      <c r="G120" s="10">
        <v>200</v>
      </c>
    </row>
    <row r="121" spans="1:7" x14ac:dyDescent="0.3">
      <c r="A121" t="s">
        <v>147</v>
      </c>
      <c r="E121">
        <v>39</v>
      </c>
      <c r="F121">
        <v>194</v>
      </c>
      <c r="G121">
        <v>119</v>
      </c>
    </row>
    <row r="122" spans="1:7" x14ac:dyDescent="0.3">
      <c r="A122" t="s">
        <v>148</v>
      </c>
      <c r="E122">
        <v>881</v>
      </c>
      <c r="F122">
        <v>1184</v>
      </c>
      <c r="G122">
        <v>957</v>
      </c>
    </row>
    <row r="123" spans="1:7" x14ac:dyDescent="0.3">
      <c r="A123" t="s">
        <v>149</v>
      </c>
      <c r="E123">
        <v>7870</v>
      </c>
      <c r="F123" s="10">
        <v>0</v>
      </c>
      <c r="G123" s="10">
        <v>0</v>
      </c>
    </row>
    <row r="124" spans="1:7" x14ac:dyDescent="0.3">
      <c r="A124" t="s">
        <v>153</v>
      </c>
      <c r="E124">
        <v>13723</v>
      </c>
      <c r="F124">
        <v>10615</v>
      </c>
      <c r="G124">
        <v>9637</v>
      </c>
    </row>
    <row r="125" spans="1:7" x14ac:dyDescent="0.3">
      <c r="A125" t="s">
        <v>154</v>
      </c>
      <c r="E125">
        <v>1362</v>
      </c>
      <c r="F125">
        <v>3641</v>
      </c>
      <c r="G125">
        <v>3541</v>
      </c>
    </row>
  </sheetData>
  <mergeCells count="6">
    <mergeCell ref="E78:G78"/>
    <mergeCell ref="A2:G2"/>
    <mergeCell ref="A34:G34"/>
    <mergeCell ref="E35:G35"/>
    <mergeCell ref="A77:G77"/>
    <mergeCell ref="B3:H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2"/>
  <sheetViews>
    <sheetView zoomScale="97" zoomScaleNormal="235" workbookViewId="0">
      <selection activeCell="C2" sqref="C2:I2"/>
    </sheetView>
  </sheetViews>
  <sheetFormatPr defaultRowHeight="14.4" x14ac:dyDescent="0.3"/>
  <cols>
    <col min="1" max="1" width="4.6640625" customWidth="1"/>
    <col min="2" max="2" width="44.88671875" customWidth="1"/>
    <col min="3" max="3" width="14" bestFit="1" customWidth="1"/>
    <col min="4" max="5" width="10.88671875" bestFit="1" customWidth="1"/>
    <col min="6" max="6" width="10.88671875" hidden="1" customWidth="1"/>
    <col min="7" max="9" width="10.88671875" bestFit="1" customWidth="1"/>
  </cols>
  <sheetData>
    <row r="1" spans="1:17" ht="60" customHeight="1" x14ac:dyDescent="0.5">
      <c r="A1" s="7"/>
      <c r="B1" s="26" t="str">
        <f>'Financial Statements'!A1</f>
        <v>Amazon Inc</v>
      </c>
      <c r="C1" s="26"/>
      <c r="D1" s="26"/>
      <c r="E1" s="26"/>
      <c r="F1" s="26"/>
      <c r="G1" s="8"/>
      <c r="H1" s="8"/>
      <c r="I1" s="8"/>
      <c r="J1" s="8"/>
      <c r="K1" s="8"/>
      <c r="L1" s="8"/>
      <c r="M1" s="8"/>
      <c r="N1" s="8"/>
    </row>
    <row r="2" spans="1:17" x14ac:dyDescent="0.3">
      <c r="C2" s="37" t="s">
        <v>57</v>
      </c>
      <c r="D2" s="37"/>
      <c r="E2" s="37"/>
      <c r="F2" s="37"/>
      <c r="G2" s="37"/>
      <c r="H2" s="37"/>
      <c r="I2" s="37"/>
    </row>
    <row r="3" spans="1:17" x14ac:dyDescent="0.3">
      <c r="C3" s="9">
        <f>'Financial Statements'!B4</f>
        <v>2022</v>
      </c>
      <c r="D3" s="9">
        <f>'Financial Statements'!C4</f>
        <v>2021</v>
      </c>
      <c r="E3" s="9">
        <f>'Financial Statements'!D4</f>
        <v>2020</v>
      </c>
      <c r="F3" s="9" t="s">
        <v>174</v>
      </c>
      <c r="G3" s="9">
        <v>2019</v>
      </c>
      <c r="H3" s="9">
        <v>2018</v>
      </c>
      <c r="I3" s="9">
        <v>2017</v>
      </c>
      <c r="L3">
        <v>2022</v>
      </c>
      <c r="M3">
        <v>2021</v>
      </c>
      <c r="N3">
        <v>2020</v>
      </c>
      <c r="O3">
        <v>2019</v>
      </c>
      <c r="P3">
        <v>2018</v>
      </c>
      <c r="Q3">
        <v>2017</v>
      </c>
    </row>
    <row r="4" spans="1:17" x14ac:dyDescent="0.3">
      <c r="A4" s="27">
        <v>1</v>
      </c>
      <c r="B4" s="9" t="s">
        <v>13</v>
      </c>
      <c r="C4" s="9"/>
      <c r="D4" s="9"/>
      <c r="E4" s="9"/>
      <c r="F4" s="9"/>
    </row>
    <row r="5" spans="1:17" x14ac:dyDescent="0.3">
      <c r="A5" s="27">
        <f>+A4+0.1</f>
        <v>1.1000000000000001</v>
      </c>
      <c r="B5" t="s">
        <v>14</v>
      </c>
      <c r="C5" s="28">
        <f>'Financial Statements'!B43/'Financial Statements'!B58</f>
        <v>0.9446435811136924</v>
      </c>
      <c r="D5" s="28">
        <f>'Financial Statements'!C43/'Financial Statements'!C58</f>
        <v>1.1357597739445826</v>
      </c>
      <c r="E5" s="28">
        <f>'Financial Statements'!D43/'Financial Statements'!D58</f>
        <v>1.0502274795268425</v>
      </c>
      <c r="F5" s="28">
        <f>AVERAGE(G5:I5)</f>
        <v>1.07837925317285</v>
      </c>
      <c r="G5" s="28">
        <f>'Financial Statements'!E43/'Financial Statements'!E58</f>
        <v>1.0970482394205803</v>
      </c>
      <c r="H5" s="28">
        <f>'Financial Statements'!F43/'Financial Statements'!F58</f>
        <v>1.0981123247210891</v>
      </c>
      <c r="I5" s="28">
        <f>'Financial Statements'!G43/'Financial Statements'!G58</f>
        <v>1.039977195376881</v>
      </c>
    </row>
    <row r="6" spans="1:17" x14ac:dyDescent="0.3">
      <c r="A6" s="27">
        <f t="shared" ref="A6:A13" si="0">+A5+0.1</f>
        <v>1.2000000000000002</v>
      </c>
      <c r="B6" t="s">
        <v>15</v>
      </c>
      <c r="C6" s="28">
        <f>('Financial Statements'!B39+'Financial Statements'!B40+'Financial Statements'!B42)/'Financial Statements'!B58</f>
        <v>0.72323721145740161</v>
      </c>
      <c r="D6" s="28">
        <f>('Financial Statements'!C39+'Financial Statements'!C40+'Financial Statements'!C42)/'Financial Statements'!C58</f>
        <v>0.90633039517523517</v>
      </c>
      <c r="E6" s="28">
        <f>('Financial Statements'!D39+'Financial Statements'!D40+'Financial Statements'!D42)/'Financial Statements'!D58</f>
        <v>0.86195355461486722</v>
      </c>
      <c r="F6" s="28">
        <f t="shared" ref="F6:F14" si="1">AVERAGE(G6:I6)</f>
        <v>0.82445735570109446</v>
      </c>
      <c r="G6" s="28">
        <f>('Financial Statements'!E39+'Financial Statements'!E40+'Financial Statements'!E42)/'Financial Statements'!E58</f>
        <v>0.86362911674941922</v>
      </c>
      <c r="H6" s="28">
        <f>('Financial Statements'!F39+'Financial Statements'!F40+'Financial Statements'!F42)/'Financial Statements'!F58</f>
        <v>0.84699741194016753</v>
      </c>
      <c r="I6" s="28">
        <f>('Financial Statements'!G39+'Financial Statements'!G40+'Financial Statements'!G42)/'Financial Statements'!G58</f>
        <v>0.76274553841369663</v>
      </c>
    </row>
    <row r="7" spans="1:17" x14ac:dyDescent="0.3">
      <c r="A7" s="27">
        <f t="shared" si="0"/>
        <v>1.3000000000000003</v>
      </c>
      <c r="B7" t="s">
        <v>16</v>
      </c>
      <c r="C7" s="28">
        <f>('Financial Statements'!B39+'Financial Statements'!B40)/'Financial Statements'!B58</f>
        <v>0.45063805962945563</v>
      </c>
      <c r="D7" s="28">
        <f>('Financial Statements'!C39+'Financial Statements'!C40)/'Financial Statements'!C58</f>
        <v>0.67513671572968947</v>
      </c>
      <c r="E7" s="28">
        <f>('Financial Statements'!D39+'Financial Statements'!D40)/'Financial Statements'!D58</f>
        <v>0.66776911817066897</v>
      </c>
      <c r="F7" s="28">
        <f t="shared" si="1"/>
        <v>0.58834934062995325</v>
      </c>
      <c r="G7" s="28">
        <f>('Financial Statements'!E39+'Financial Statements'!E40)/'Financial Statements'!E58</f>
        <v>0.62657723317997538</v>
      </c>
      <c r="H7" s="28">
        <f>('Financial Statements'!F39+'Financial Statements'!F40)/'Financial Statements'!F58</f>
        <v>0.60314953721980957</v>
      </c>
      <c r="I7" s="28">
        <f>('Financial Statements'!G39+'Financial Statements'!G40)/'Financial Statements'!G58</f>
        <v>0.53532125149007481</v>
      </c>
    </row>
    <row r="8" spans="1:17" x14ac:dyDescent="0.3">
      <c r="A8" s="27">
        <f t="shared" si="0"/>
        <v>1.4000000000000004</v>
      </c>
      <c r="B8" t="s">
        <v>17</v>
      </c>
      <c r="C8" s="28">
        <f>('Financial Statements'!B39+'Financial Statements'!B40)/('Financial Statements'!B16/365)</f>
        <v>50.94221052946277</v>
      </c>
      <c r="D8" s="28">
        <f>('Financial Statements'!C39+'Financial Statements'!C40)/('Financial Statements'!C16/365)</f>
        <v>78.791856484987974</v>
      </c>
      <c r="E8" s="28">
        <f>('Financial Statements'!D39+'Financial Statements'!D40)/('Financial Statements'!D16/365)</f>
        <v>84.822436082772299</v>
      </c>
      <c r="F8" s="28">
        <f t="shared" si="1"/>
        <v>69.628707681090887</v>
      </c>
      <c r="G8" s="28">
        <f>('Financial Statements'!E39+'Financial Statements'!E40)/('Financial Statements'!E16/365)</f>
        <v>75.504133753914743</v>
      </c>
      <c r="H8" s="28">
        <f>('Financial Statements'!F39+'Financial Statements'!F40)/('Financial Statements'!F16/365)</f>
        <v>68.292843340923312</v>
      </c>
      <c r="I8" s="28">
        <f>('Financial Statements'!G39+'Financial Statements'!G40)/('Financial Statements'!G16/365)</f>
        <v>65.08914594843462</v>
      </c>
    </row>
    <row r="9" spans="1:17" x14ac:dyDescent="0.3">
      <c r="A9" s="27">
        <f t="shared" si="0"/>
        <v>1.5000000000000004</v>
      </c>
      <c r="B9" t="s">
        <v>18</v>
      </c>
      <c r="C9" s="28">
        <f>L9*365/'Financial Statements'!B10</f>
        <v>42.362878292150079</v>
      </c>
      <c r="D9" s="28">
        <f>M9*365/'Financial Statements'!C10</f>
        <v>37.817567120994035</v>
      </c>
      <c r="E9" s="28">
        <f>N9*365/'Financial Statements'!D10</f>
        <v>34.646581542774115</v>
      </c>
      <c r="F9" s="28">
        <f t="shared" si="1"/>
        <v>43.316610133683035</v>
      </c>
      <c r="G9" s="28">
        <f>O9*365/'Financial Statements'!E10</f>
        <v>41.531494659771894</v>
      </c>
      <c r="H9" s="28">
        <f>P9*365/'Financial Statements'!F10</f>
        <v>43.568602862973925</v>
      </c>
      <c r="I9" s="28">
        <f>Q9*365/'Financial Statements'!G10</f>
        <v>44.849732878303286</v>
      </c>
      <c r="K9" t="s">
        <v>160</v>
      </c>
      <c r="L9">
        <f>AVERAGE('Financial Statements'!B41:C41)</f>
        <v>33522.5</v>
      </c>
      <c r="M9">
        <f>AVERAGE('Financial Statements'!C41:D41)</f>
        <v>28217.5</v>
      </c>
      <c r="N9">
        <f>AVERAGE('Financial Statements'!D41:E41)</f>
        <v>22146</v>
      </c>
      <c r="O9">
        <f>AVERAGE('Financial Statements'!E41:F41)</f>
        <v>18835.5</v>
      </c>
      <c r="P9">
        <f>AVERAGE('Financial Statements'!F41:G41)</f>
        <v>16610.5</v>
      </c>
      <c r="Q9">
        <f>AVERAGE('Financial Statements'!G41:H41)</f>
        <v>13754</v>
      </c>
    </row>
    <row r="10" spans="1:17" x14ac:dyDescent="0.3">
      <c r="A10" s="27">
        <f t="shared" si="0"/>
        <v>1.6000000000000005</v>
      </c>
      <c r="B10" t="s">
        <v>19</v>
      </c>
      <c r="C10" s="28">
        <f>L10*365/'Financial Statements'!B10</f>
        <v>100.00027697857917</v>
      </c>
      <c r="D10" s="28">
        <f>M10*365/'Financial Statements'!C10</f>
        <v>101.3223992450724</v>
      </c>
      <c r="E10" s="28">
        <f>N10*365/'Financial Statements'!D10</f>
        <v>93.650276245461981</v>
      </c>
      <c r="F10" s="28">
        <f t="shared" si="1"/>
        <v>95.771152980897114</v>
      </c>
      <c r="G10" s="28">
        <f>O10*365/'Financial Statements'!E10</f>
        <v>94.124163323989947</v>
      </c>
      <c r="H10" s="28">
        <f>P10*365/'Financial Statements'!F10</f>
        <v>95.486073184052429</v>
      </c>
      <c r="I10" s="28">
        <f>Q10*365/'Financial Statements'!G10</f>
        <v>97.703222434648993</v>
      </c>
      <c r="K10" t="s">
        <v>161</v>
      </c>
      <c r="L10">
        <f>AVERAGE('Financial Statements'!B55:C55)</f>
        <v>79132</v>
      </c>
      <c r="M10">
        <f>AVERAGE('Financial Statements'!C55:D55)</f>
        <v>75601.5</v>
      </c>
      <c r="N10">
        <f>AVERAGE('Financial Statements'!D55:E55)</f>
        <v>59861</v>
      </c>
      <c r="O10">
        <f>AVERAGE('Financial Statements'!E55:F55)</f>
        <v>42687.5</v>
      </c>
      <c r="P10">
        <f>AVERAGE('Financial Statements'!F55:G55)</f>
        <v>36404</v>
      </c>
      <c r="Q10">
        <f>AVERAGE('Financial Statements'!G55:H55)</f>
        <v>29962.5</v>
      </c>
    </row>
    <row r="11" spans="1:17" x14ac:dyDescent="0.3">
      <c r="A11" s="27">
        <f t="shared" si="0"/>
        <v>1.7000000000000006</v>
      </c>
      <c r="B11" t="s">
        <v>20</v>
      </c>
      <c r="C11" s="28">
        <f>365*L11/'Financial Statements'!B8</f>
        <v>26.719380796641133</v>
      </c>
      <c r="D11" s="28">
        <f>365*M11/'Financial Statements'!C8</f>
        <v>22.309560854962093</v>
      </c>
      <c r="E11" s="28">
        <f>365*N11/'Financial Statements'!D8</f>
        <v>21.441613307638111</v>
      </c>
      <c r="F11" s="28">
        <f t="shared" si="1"/>
        <v>23.279936443951684</v>
      </c>
      <c r="G11" s="28">
        <f>365*O11/'Financial Statements'!E8</f>
        <v>24.391928262310977</v>
      </c>
      <c r="H11" s="28">
        <f>365*P11/'Financial Statements'!F8</f>
        <v>23.384656507233121</v>
      </c>
      <c r="I11" s="28">
        <f>365*Q11/'Financial Statements'!G8</f>
        <v>22.063224562310953</v>
      </c>
      <c r="K11" t="s">
        <v>162</v>
      </c>
      <c r="L11">
        <f>AVERAGE('Financial Statements'!B42:C42)</f>
        <v>37625.5</v>
      </c>
      <c r="M11">
        <f>AVERAGE('Financial Statements'!C42:D42)</f>
        <v>28716.5</v>
      </c>
      <c r="N11">
        <f>AVERAGE('Financial Statements'!D42:E42)</f>
        <v>22679</v>
      </c>
      <c r="O11">
        <f>AVERAGE('Financial Statements'!E42:F42)</f>
        <v>18746.5</v>
      </c>
      <c r="P11">
        <f>AVERAGE('Financial Statements'!F42:G42)</f>
        <v>14920.5</v>
      </c>
      <c r="Q11">
        <f>AVERAGE('Financial Statements'!G42:H42)</f>
        <v>10751.5</v>
      </c>
    </row>
    <row r="12" spans="1:17" x14ac:dyDescent="0.3">
      <c r="A12" s="27">
        <f t="shared" si="0"/>
        <v>1.8000000000000007</v>
      </c>
      <c r="B12" t="s">
        <v>21</v>
      </c>
      <c r="C12" s="29">
        <f>C9+C11-C10</f>
        <v>-30.918017889787961</v>
      </c>
      <c r="D12" s="29">
        <f t="shared" ref="D12:I12" si="2">D9+D11-D10</f>
        <v>-41.195271269116276</v>
      </c>
      <c r="E12" s="29">
        <f t="shared" si="2"/>
        <v>-37.562081395049759</v>
      </c>
      <c r="F12" s="28">
        <f t="shared" si="1"/>
        <v>-29.174606403262406</v>
      </c>
      <c r="G12" s="29">
        <f t="shared" si="2"/>
        <v>-28.200740401907083</v>
      </c>
      <c r="H12" s="29">
        <f t="shared" si="2"/>
        <v>-28.53281381384538</v>
      </c>
      <c r="I12" s="29">
        <f t="shared" si="2"/>
        <v>-30.790264994034757</v>
      </c>
    </row>
    <row r="13" spans="1:17" x14ac:dyDescent="0.3">
      <c r="A13" s="27">
        <f t="shared" si="0"/>
        <v>1.9000000000000008</v>
      </c>
      <c r="B13" t="s">
        <v>22</v>
      </c>
      <c r="C13" s="25">
        <f>C14/'Financial Statements'!B8</f>
        <v>-1.6735962084349094E-2</v>
      </c>
      <c r="D13" s="25">
        <f>D14/'Financial Statements'!C8</f>
        <v>4.1109186032156859E-2</v>
      </c>
      <c r="E13" s="25">
        <f>E14/'Financial Statements'!D8</f>
        <v>1.6442869576028845E-2</v>
      </c>
      <c r="F13" s="25">
        <f t="shared" si="1"/>
        <v>2.4067043160152509E-2</v>
      </c>
      <c r="G13" s="25">
        <f>G14/'Financial Statements'!E8</f>
        <v>3.0379079002716365E-2</v>
      </c>
      <c r="H13" s="25">
        <f>H14/'Financial Statements'!F8</f>
        <v>2.8812256587958968E-2</v>
      </c>
      <c r="I13" s="25">
        <f>I14/'Financial Statements'!G8</f>
        <v>1.3009793889782196E-2</v>
      </c>
    </row>
    <row r="14" spans="1:17" x14ac:dyDescent="0.3">
      <c r="A14" s="27"/>
      <c r="B14" t="s">
        <v>23</v>
      </c>
      <c r="C14" s="30">
        <f>'Financial Statements'!B43-'Financial Statements'!B58</f>
        <v>-8602</v>
      </c>
      <c r="D14" s="30">
        <f>'Financial Statements'!C43-'Financial Statements'!C58</f>
        <v>19314</v>
      </c>
      <c r="E14" s="30">
        <f>'Financial Statements'!D43-'Financial Statements'!D58</f>
        <v>6348</v>
      </c>
      <c r="F14" s="28">
        <f t="shared" si="1"/>
        <v>5848.666666666667</v>
      </c>
      <c r="G14" s="30">
        <f>'Financial Statements'!E43-'Financial Statements'!E58</f>
        <v>8522</v>
      </c>
      <c r="H14" s="30">
        <f>'Financial Statements'!F43-'Financial Statements'!F58</f>
        <v>6710</v>
      </c>
      <c r="I14" s="30">
        <f>'Financial Statements'!G43-'Financial Statements'!G58</f>
        <v>2314</v>
      </c>
    </row>
    <row r="15" spans="1:17" x14ac:dyDescent="0.3">
      <c r="A15" s="27"/>
      <c r="D15" s="32"/>
    </row>
    <row r="16" spans="1:17" x14ac:dyDescent="0.3">
      <c r="A16" s="27">
        <f>+A4+1</f>
        <v>2</v>
      </c>
      <c r="B16" s="9" t="s">
        <v>24</v>
      </c>
      <c r="C16" s="9"/>
      <c r="D16" s="9"/>
      <c r="E16" s="9"/>
      <c r="F16" s="9"/>
    </row>
    <row r="17" spans="1:9" x14ac:dyDescent="0.3">
      <c r="A17" s="27">
        <f>+A16+0.1</f>
        <v>2.1</v>
      </c>
      <c r="B17" t="s">
        <v>10</v>
      </c>
      <c r="C17" s="25">
        <f>('Financial Statements'!B8-'Financial Statements'!B10)/'Financial Statements'!B8</f>
        <v>0.43805339865326287</v>
      </c>
      <c r="D17" s="25">
        <f>('Financial Statements'!C8-'Financial Statements'!C10)/'Financial Statements'!C8</f>
        <v>0.42032514441639601</v>
      </c>
      <c r="E17" s="25">
        <f>('Financial Statements'!D8-'Financial Statements'!D10)/'Financial Statements'!D8</f>
        <v>0.3956779186870571</v>
      </c>
      <c r="F17" s="25">
        <f t="shared" ref="F17:F22" si="3">AVERAGE(G17:I17)</f>
        <v>0.39435260812122985</v>
      </c>
      <c r="G17" s="25">
        <f>('Financial Statements'!E8-'Financial Statements'!E10)/'Financial Statements'!E8</f>
        <v>0.40990011478600608</v>
      </c>
      <c r="H17" s="25">
        <f>('Financial Statements'!F8-'Financial Statements'!F10)/'Financial Statements'!F8</f>
        <v>0.40247416128852193</v>
      </c>
      <c r="I17" s="25">
        <f>('Financial Statements'!G8-'Financial Statements'!G10)/'Financial Statements'!G8</f>
        <v>0.3706835482891615</v>
      </c>
    </row>
    <row r="18" spans="1:9" x14ac:dyDescent="0.3">
      <c r="A18" s="27">
        <f>+A17+0.1</f>
        <v>2.2000000000000002</v>
      </c>
      <c r="B18" t="s">
        <v>25</v>
      </c>
      <c r="C18" s="25">
        <f>C19/'Financial Statements'!B8</f>
        <v>0.10539064521589235</v>
      </c>
      <c r="D18" s="25">
        <f>D19/'Financial Statements'!C8</f>
        <v>0.1259519562728012</v>
      </c>
      <c r="E18" s="25">
        <f>E19/'Financial Statements'!D8</f>
        <v>0.12472025363670272</v>
      </c>
      <c r="F18" s="25">
        <f t="shared" si="3"/>
        <v>0.11211103575766838</v>
      </c>
      <c r="G18" s="25">
        <f>G19/'Financial Statements'!E8</f>
        <v>0.12950855904349748</v>
      </c>
      <c r="H18" s="25">
        <f>H19/'Financial Statements'!F8</f>
        <v>0.11920802792770743</v>
      </c>
      <c r="I18" s="25">
        <f>I19/'Financial Statements'!G8</f>
        <v>8.7616520301800227E-2</v>
      </c>
    </row>
    <row r="19" spans="1:9" x14ac:dyDescent="0.3">
      <c r="A19" s="27"/>
      <c r="B19" t="s">
        <v>26</v>
      </c>
      <c r="C19" s="30">
        <f>'Financial Statements'!B17+'Financial Statements'!B85</f>
        <v>54169</v>
      </c>
      <c r="D19" s="30">
        <f>'Financial Statements'!C17+'Financial Statements'!C85</f>
        <v>59175</v>
      </c>
      <c r="E19" s="30">
        <f>'Financial Statements'!D17+'Financial Statements'!D85</f>
        <v>48150</v>
      </c>
      <c r="F19" s="30">
        <f t="shared" si="3"/>
        <v>26558.666666666668</v>
      </c>
      <c r="G19" s="30">
        <f>'Financial Statements'!E17+'Financial Statements'!E85</f>
        <v>36330</v>
      </c>
      <c r="H19" s="30">
        <f>'Financial Statements'!F17+'Financial Statements'!F85</f>
        <v>27762</v>
      </c>
      <c r="I19" s="30">
        <f>'Financial Statements'!G17+'Financial Statements'!G85</f>
        <v>15584</v>
      </c>
    </row>
    <row r="20" spans="1:9" x14ac:dyDescent="0.3">
      <c r="A20" s="27">
        <f>+A18+0.1</f>
        <v>2.3000000000000003</v>
      </c>
      <c r="B20" t="s">
        <v>27</v>
      </c>
      <c r="C20" s="25">
        <f>C21/'Financial Statements'!B8</f>
        <v>2.3829581912242232E-2</v>
      </c>
      <c r="D20" s="25">
        <f>D21/'Financial Statements'!C8</f>
        <v>5.2954097509269465E-2</v>
      </c>
      <c r="E20" s="25">
        <f>E21/'Financial Statements'!D8</f>
        <v>5.9313999751336569E-2</v>
      </c>
      <c r="F20" s="25">
        <f t="shared" si="3"/>
        <v>4.2751726660289806E-2</v>
      </c>
      <c r="G20" s="25">
        <f>G21/'Financial Statements'!E8</f>
        <v>5.1835506662579051E-2</v>
      </c>
      <c r="H20" s="25">
        <f>H21/'Financial Statements'!F8</f>
        <v>5.3334879147397665E-2</v>
      </c>
      <c r="I20" s="25">
        <f>I21/'Financial Statements'!G8</f>
        <v>2.3084794170892695E-2</v>
      </c>
    </row>
    <row r="21" spans="1:9" x14ac:dyDescent="0.3">
      <c r="A21" s="27"/>
      <c r="B21" t="s">
        <v>28</v>
      </c>
      <c r="C21" s="30">
        <f>'Financial Statements'!B17</f>
        <v>12248</v>
      </c>
      <c r="D21" s="30">
        <f>'Financial Statements'!C17</f>
        <v>24879</v>
      </c>
      <c r="E21" s="30">
        <f>'Financial Statements'!D17</f>
        <v>22899</v>
      </c>
      <c r="F21" s="30">
        <f t="shared" si="3"/>
        <v>10356</v>
      </c>
      <c r="G21" s="30">
        <f>'Financial Statements'!E17</f>
        <v>14541</v>
      </c>
      <c r="H21" s="30">
        <f>'Financial Statements'!F17</f>
        <v>12421</v>
      </c>
      <c r="I21" s="30">
        <f>'Financial Statements'!G17</f>
        <v>4106</v>
      </c>
    </row>
    <row r="22" spans="1:9" x14ac:dyDescent="0.3">
      <c r="A22" s="27">
        <f>+A20+0.1</f>
        <v>2.4000000000000004</v>
      </c>
      <c r="B22" t="s">
        <v>29</v>
      </c>
      <c r="C22" s="25">
        <f>'Financial Statements'!B25/'Financial Statements'!B8</f>
        <v>-5.2958950004183018E-3</v>
      </c>
      <c r="D22" s="25">
        <f>'Financial Statements'!C25/'Financial Statements'!C8</f>
        <v>7.1014128755145567E-2</v>
      </c>
      <c r="E22" s="25">
        <f>'Financial Statements'!D25/'Financial Statements'!D8</f>
        <v>5.5252496995316841E-2</v>
      </c>
      <c r="F22" s="25">
        <f t="shared" si="3"/>
        <v>3.3871200743497143E-2</v>
      </c>
      <c r="G22" s="25">
        <f>'Financial Statements'!E25/'Financial Statements'!E8</f>
        <v>4.1308703060722513E-2</v>
      </c>
      <c r="H22" s="25">
        <f>'Financial Statements'!F25/'Financial Statements'!F8</f>
        <v>4.3252736305590261E-2</v>
      </c>
      <c r="I22" s="25">
        <f>'Financial Statements'!G25/'Financial Statements'!G8</f>
        <v>1.7052162864178651E-2</v>
      </c>
    </row>
    <row r="23" spans="1:9" x14ac:dyDescent="0.3">
      <c r="A23" s="27"/>
    </row>
    <row r="24" spans="1:9" x14ac:dyDescent="0.3">
      <c r="A24" s="27">
        <f>+A16+1</f>
        <v>3</v>
      </c>
      <c r="B24" s="9" t="s">
        <v>30</v>
      </c>
      <c r="C24" s="9"/>
      <c r="D24" s="9"/>
      <c r="E24" s="9"/>
      <c r="F24" s="9"/>
    </row>
    <row r="25" spans="1:9" x14ac:dyDescent="0.3">
      <c r="A25" s="27">
        <f>+A24+0.1</f>
        <v>3.1</v>
      </c>
      <c r="B25" t="s">
        <v>31</v>
      </c>
      <c r="C25" s="28">
        <f>'Financial Statements'!B61/'Financial Statements'!B72</f>
        <v>0.45979608745369516</v>
      </c>
      <c r="D25" s="28">
        <f>'Financial Statements'!C61/'Financial Statements'!C72</f>
        <v>0.35259141379435061</v>
      </c>
      <c r="E25" s="28">
        <f>'Financial Statements'!D61/'Financial Statements'!D72</f>
        <v>0.34062781037214679</v>
      </c>
      <c r="F25" s="28">
        <f t="shared" ref="F25:F31" si="4">AVERAGE(G25:I25)</f>
        <v>0.60324874657134142</v>
      </c>
      <c r="G25" s="28">
        <f>'Financial Statements'!E61/'Financial Statements'!E72</f>
        <v>0.37728005156300354</v>
      </c>
      <c r="H25" s="28">
        <f>'Financial Statements'!F61/'Financial Statements'!F72</f>
        <v>0.53950722175021237</v>
      </c>
      <c r="I25" s="28">
        <f>'Financial Statements'!G61/'Financial Statements'!G72</f>
        <v>0.89295896640080841</v>
      </c>
    </row>
    <row r="26" spans="1:9" x14ac:dyDescent="0.3">
      <c r="A26" s="27">
        <f t="shared" ref="A26:A30" si="5">+A25+0.1</f>
        <v>3.2</v>
      </c>
      <c r="B26" t="s">
        <v>32</v>
      </c>
      <c r="C26" s="28">
        <f>'Financial Statements'!B61/'Financial Statements'!B51</f>
        <v>0.14513427351812827</v>
      </c>
      <c r="D26" s="28">
        <f>'Financial Statements'!C61/'Financial Statements'!C51</f>
        <v>0.11590563763081116</v>
      </c>
      <c r="E26" s="28">
        <f>'Financial Statements'!D61/'Financial Statements'!D51</f>
        <v>9.9055091144009094E-2</v>
      </c>
      <c r="F26" s="28">
        <f t="shared" si="4"/>
        <v>0.14561088523972418</v>
      </c>
      <c r="G26" s="28">
        <f>'Financial Statements'!E61/'Financial Statements'!E51</f>
        <v>0.10394764881375196</v>
      </c>
      <c r="H26" s="28">
        <f>'Financial Statements'!F61/'Financial Statements'!F51</f>
        <v>0.14445305198957256</v>
      </c>
      <c r="I26" s="28">
        <f>'Financial Statements'!G61/'Financial Statements'!G51</f>
        <v>0.18843195491584799</v>
      </c>
    </row>
    <row r="27" spans="1:9" x14ac:dyDescent="0.3">
      <c r="A27" s="27">
        <f t="shared" si="5"/>
        <v>3.3000000000000003</v>
      </c>
      <c r="B27" t="s">
        <v>33</v>
      </c>
      <c r="C27" s="28">
        <f>'Financial Statements'!B61/('Financial Statements'!B72+'Financial Statements'!B61)</f>
        <v>0.31497281805687805</v>
      </c>
      <c r="D27" s="28">
        <f>'Financial Statements'!C61/('Financial Statements'!C72+'Financial Statements'!C61)</f>
        <v>0.26067843562990334</v>
      </c>
      <c r="E27" s="28">
        <f>'Financial Statements'!D61/('Financial Statements'!D72+'Financial Statements'!D61)</f>
        <v>0.2540808177607411</v>
      </c>
      <c r="F27" s="28">
        <f t="shared" si="4"/>
        <v>0.36536642865861096</v>
      </c>
      <c r="G27" s="28">
        <f>'Financial Statements'!E61/('Financial Statements'!E72+'Financial Statements'!E61)</f>
        <v>0.27393125394856915</v>
      </c>
      <c r="H27" s="28">
        <f>'Financial Statements'!F61/('Financial Statements'!F72+'Financial Statements'!F61)</f>
        <v>0.35044150110375277</v>
      </c>
      <c r="I27" s="28">
        <f>'Financial Statements'!G61/('Financial Statements'!G72+'Financial Statements'!G61)</f>
        <v>0.47172653092351102</v>
      </c>
    </row>
    <row r="28" spans="1:9" x14ac:dyDescent="0.3">
      <c r="A28" s="27">
        <f t="shared" si="5"/>
        <v>3.4000000000000004</v>
      </c>
      <c r="B28" t="s">
        <v>34</v>
      </c>
      <c r="C28" s="28">
        <f>-'Financial Statements'!B17/'Financial Statements'!B19</f>
        <v>5.1744824672581329</v>
      </c>
      <c r="D28" s="28">
        <f>-'Financial Statements'!C17/'Financial Statements'!C19</f>
        <v>13.752902155887231</v>
      </c>
      <c r="E28" s="28">
        <f>-'Financial Statements'!D17/'Financial Statements'!D19</f>
        <v>13.903460837887067</v>
      </c>
      <c r="F28" s="28">
        <f t="shared" si="4"/>
        <v>7.5652694399320026</v>
      </c>
      <c r="G28" s="28">
        <f>-'Financial Statements'!E17/'Financial Statements'!E19</f>
        <v>9.0881249999999998</v>
      </c>
      <c r="H28" s="28">
        <f>-'Financial Statements'!F17/'Financial Statements'!F19</f>
        <v>8.765702187720537</v>
      </c>
      <c r="I28" s="28">
        <f>-'Financial Statements'!G17/'Financial Statements'!G19</f>
        <v>4.841981132075472</v>
      </c>
    </row>
    <row r="29" spans="1:9" x14ac:dyDescent="0.3">
      <c r="A29" s="27">
        <f t="shared" si="5"/>
        <v>3.5000000000000004</v>
      </c>
      <c r="B29" t="s">
        <v>35</v>
      </c>
      <c r="C29" s="28">
        <f>'Financial Statements'!B17/'Financial Statements'!B61</f>
        <v>0.18239761727475801</v>
      </c>
      <c r="D29" s="28">
        <f>'Financial Statements'!C17/'Financial Statements'!C61</f>
        <v>0.51040128015755781</v>
      </c>
      <c r="E29" s="28">
        <f>'Financial Statements'!D17/'Financial Statements'!D61</f>
        <v>0.71973221020870004</v>
      </c>
      <c r="F29" s="28">
        <f t="shared" si="4"/>
        <v>0.43855009748176427</v>
      </c>
      <c r="G29" s="28">
        <f>'Financial Statements'!E17/'Financial Statements'!E61</f>
        <v>0.62103869479798413</v>
      </c>
      <c r="H29" s="28">
        <f>'Financial Statements'!F17/'Financial Statements'!F61</f>
        <v>0.52866567354756333</v>
      </c>
      <c r="I29" s="28">
        <f>'Financial Statements'!G17/'Financial Statements'!G61</f>
        <v>0.16594592409974537</v>
      </c>
    </row>
    <row r="30" spans="1:9" x14ac:dyDescent="0.3">
      <c r="A30" s="27">
        <f t="shared" si="5"/>
        <v>3.6000000000000005</v>
      </c>
      <c r="B30" t="s">
        <v>36</v>
      </c>
      <c r="C30" s="30">
        <f>C31/'Financial Statements'!B31</f>
        <v>-4.4491117872215131</v>
      </c>
      <c r="D30" s="30">
        <f>D31/'Financial Statements'!C31/20</f>
        <v>-1.2849802371541501</v>
      </c>
      <c r="E30" s="30">
        <f>E31/'Financial Statements'!D31/20</f>
        <v>1.9922999999999997</v>
      </c>
      <c r="F30" s="28">
        <f t="shared" si="4"/>
        <v>0.92985147171026072</v>
      </c>
      <c r="G30" s="30">
        <f>G31/'Financial Statements'!E31/20</f>
        <v>1.4248987854251012</v>
      </c>
      <c r="H30" s="30">
        <f>H31/'Financial Statements'!F31/20</f>
        <v>1.1236139630390143</v>
      </c>
      <c r="I30" s="30">
        <f>I31/'Financial Statements'!G31/20</f>
        <v>0.24104166666666668</v>
      </c>
    </row>
    <row r="31" spans="1:9" x14ac:dyDescent="0.3">
      <c r="A31" s="27"/>
      <c r="B31" t="s">
        <v>37</v>
      </c>
      <c r="C31" s="30">
        <f>SUM(C33:C36)</f>
        <v>-45332</v>
      </c>
      <c r="D31" s="30">
        <f t="shared" ref="D31:I31" si="6">SUM(D33:D36)</f>
        <v>-13004</v>
      </c>
      <c r="E31" s="30">
        <f t="shared" si="6"/>
        <v>19923</v>
      </c>
      <c r="F31" s="28">
        <f t="shared" si="4"/>
        <v>9112</v>
      </c>
      <c r="G31" s="30">
        <f t="shared" si="6"/>
        <v>14078</v>
      </c>
      <c r="H31" s="30">
        <f t="shared" si="6"/>
        <v>10944</v>
      </c>
      <c r="I31" s="30">
        <f t="shared" si="6"/>
        <v>2314</v>
      </c>
    </row>
    <row r="32" spans="1:9" x14ac:dyDescent="0.3">
      <c r="A32" s="27"/>
      <c r="C32" s="30"/>
      <c r="D32" s="30"/>
      <c r="E32" s="30"/>
      <c r="F32" s="30"/>
      <c r="G32" s="30"/>
      <c r="H32" s="30"/>
      <c r="I32" s="30"/>
    </row>
    <row r="33" spans="1:17" x14ac:dyDescent="0.3">
      <c r="A33" s="27"/>
      <c r="B33" t="s">
        <v>82</v>
      </c>
      <c r="C33" s="30">
        <f>'Financial Statements'!B25</f>
        <v>-2722</v>
      </c>
      <c r="D33" s="30">
        <f>'Financial Statements'!C25</f>
        <v>33364</v>
      </c>
      <c r="E33" s="30">
        <f>'Financial Statements'!D25</f>
        <v>21331</v>
      </c>
      <c r="F33" s="30"/>
      <c r="G33" s="30">
        <f>'Financial Statements'!E25</f>
        <v>11588</v>
      </c>
      <c r="H33" s="30">
        <f>'Financial Statements'!F25</f>
        <v>10073</v>
      </c>
      <c r="I33" s="30">
        <f>'Financial Statements'!G25</f>
        <v>3033</v>
      </c>
    </row>
    <row r="34" spans="1:17" x14ac:dyDescent="0.3">
      <c r="A34" s="27"/>
      <c r="B34" t="s">
        <v>163</v>
      </c>
      <c r="C34" s="30">
        <f>'Financial Statements'!B85</f>
        <v>41921</v>
      </c>
      <c r="D34" s="30">
        <f>'Financial Statements'!C85</f>
        <v>34296</v>
      </c>
      <c r="E34" s="30">
        <f>'Financial Statements'!D85</f>
        <v>25251</v>
      </c>
      <c r="F34" s="30"/>
      <c r="G34" s="30">
        <f>'Financial Statements'!E85</f>
        <v>21789</v>
      </c>
      <c r="H34" s="30">
        <f>'Financial Statements'!F85</f>
        <v>15341</v>
      </c>
      <c r="I34" s="30">
        <f>'Financial Statements'!G85</f>
        <v>11478</v>
      </c>
    </row>
    <row r="35" spans="1:17" x14ac:dyDescent="0.3">
      <c r="A35" s="27"/>
      <c r="B35" t="s">
        <v>164</v>
      </c>
      <c r="C35" s="30">
        <f>SUM('Financial Statements'!B91:B95)</f>
        <v>-20886</v>
      </c>
      <c r="D35" s="30">
        <f>SUM('Financial Statements'!C91:C95)</f>
        <v>-19611</v>
      </c>
      <c r="E35" s="30">
        <f>SUM('Financial Statements'!D91:D95)</f>
        <v>13481</v>
      </c>
      <c r="F35" s="30"/>
      <c r="G35" s="30">
        <f>SUM('Financial Statements'!E91:E95)</f>
        <v>-2438</v>
      </c>
      <c r="H35" s="30">
        <f>SUM('Financial Statements'!F91:F95)</f>
        <v>-1043</v>
      </c>
      <c r="I35" s="30">
        <f>SUM('Financial Statements'!G91:G95)</f>
        <v>-242</v>
      </c>
    </row>
    <row r="36" spans="1:17" x14ac:dyDescent="0.3">
      <c r="A36" s="27"/>
      <c r="B36" t="s">
        <v>165</v>
      </c>
      <c r="C36" s="30">
        <f>'Financial Statements'!B98</f>
        <v>-63645</v>
      </c>
      <c r="D36" s="30">
        <f>'Financial Statements'!C98</f>
        <v>-61053</v>
      </c>
      <c r="E36" s="30">
        <f>'Financial Statements'!D98</f>
        <v>-40140</v>
      </c>
      <c r="F36" s="30"/>
      <c r="G36" s="30">
        <f>'Financial Statements'!E98</f>
        <v>-16861</v>
      </c>
      <c r="H36" s="30">
        <f>'Financial Statements'!F98</f>
        <v>-13427</v>
      </c>
      <c r="I36" s="30">
        <f>'Financial Statements'!G98</f>
        <v>-11955</v>
      </c>
    </row>
    <row r="37" spans="1:17" x14ac:dyDescent="0.3">
      <c r="A37" s="27"/>
    </row>
    <row r="38" spans="1:17" x14ac:dyDescent="0.3">
      <c r="A38" s="27">
        <f>+A24+1</f>
        <v>4</v>
      </c>
      <c r="B38" s="9" t="s">
        <v>38</v>
      </c>
      <c r="C38" s="9"/>
      <c r="D38" s="9"/>
      <c r="E38" s="9"/>
      <c r="F38" s="9"/>
    </row>
    <row r="39" spans="1:17" x14ac:dyDescent="0.3">
      <c r="A39" s="27">
        <f>+A38+0.1</f>
        <v>4.0999999999999996</v>
      </c>
      <c r="B39" t="s">
        <v>39</v>
      </c>
      <c r="C39" s="28">
        <f>'Financial Statements'!B8/'List of Ratios'!L39</f>
        <v>1.1638791518346421</v>
      </c>
      <c r="D39" s="28">
        <f>'Financial Statements'!C8/'List of Ratios'!M39</f>
        <v>1.2668036411484285</v>
      </c>
      <c r="E39" s="28">
        <f>'Financial Statements'!D8/'List of Ratios'!N39</f>
        <v>1.4130073950988484</v>
      </c>
      <c r="F39" s="28">
        <f t="shared" ref="F39:F42" si="7">AVERAGE(G39:I39)</f>
        <v>1.5625519357019115</v>
      </c>
      <c r="G39" s="28">
        <f>'Financial Statements'!E8/'List of Ratios'!O39</f>
        <v>1.4463773795037844</v>
      </c>
      <c r="H39" s="28">
        <f>'Financial Statements'!F8/'List of Ratios'!P39</f>
        <v>1.5844916620741738</v>
      </c>
      <c r="I39" s="28">
        <f>'Financial Statements'!G8/'List of Ratios'!Q39</f>
        <v>1.6567867655277768</v>
      </c>
      <c r="K39" t="s">
        <v>166</v>
      </c>
      <c r="L39">
        <f>AVERAGE('Financial Statements'!B51:C51)</f>
        <v>441612</v>
      </c>
      <c r="M39">
        <f>AVERAGE('Financial Statements'!C51:D51)</f>
        <v>370872</v>
      </c>
      <c r="N39">
        <f>AVERAGE('Financial Statements'!D51:E51)</f>
        <v>273221.5</v>
      </c>
      <c r="O39">
        <f>AVERAGE('Financial Statements'!E51:F51)</f>
        <v>193948</v>
      </c>
      <c r="P39">
        <f>AVERAGE('Financial Statements'!F51:G51)</f>
        <v>146979</v>
      </c>
      <c r="Q39">
        <f>AVERAGE('Financial Statements'!G51:H51)</f>
        <v>107356</v>
      </c>
    </row>
    <row r="40" spans="1:17" x14ac:dyDescent="0.3">
      <c r="A40" s="27">
        <f t="shared" ref="A40:A42" si="8">+A39+0.1</f>
        <v>4.1999999999999993</v>
      </c>
      <c r="B40" t="s">
        <v>40</v>
      </c>
      <c r="C40" s="28">
        <f>'Financial Statements'!B8/'List of Ratios'!L40</f>
        <v>2.9624721898811512</v>
      </c>
      <c r="D40" s="28">
        <f>'Financial Statements'!C8/'List of Ratios'!M40</f>
        <v>3.4369465425483274</v>
      </c>
      <c r="E40" s="28">
        <f>'Financial Statements'!D8/'List of Ratios'!N40</f>
        <v>4.1552693750369984</v>
      </c>
      <c r="F40" s="28">
        <f t="shared" si="7"/>
        <v>4.3140152848960858</v>
      </c>
      <c r="G40" s="28">
        <f>'Financial Statements'!E8/'List of Ratios'!O40</f>
        <v>4.1712688287163013</v>
      </c>
      <c r="H40" s="28">
        <f>'Financial Statements'!F8/'List of Ratios'!P40</f>
        <v>4.2089406576723931</v>
      </c>
      <c r="I40" s="28">
        <f>'Financial Statements'!G8/'List of Ratios'!Q40</f>
        <v>4.5618363682995637</v>
      </c>
      <c r="K40" t="s">
        <v>167</v>
      </c>
      <c r="L40">
        <f>AVERAGE('Financial Statements'!B46:C46)</f>
        <v>173498</v>
      </c>
      <c r="M40">
        <f>AVERAGE('Financial Statements'!C46:D46)</f>
        <v>136697.5</v>
      </c>
      <c r="N40">
        <f>AVERAGE('Financial Statements'!D46:E46)</f>
        <v>92909.5</v>
      </c>
      <c r="O40">
        <f>AVERAGE('Financial Statements'!E46:F46)</f>
        <v>67251</v>
      </c>
      <c r="P40">
        <f>AVERAGE('Financial Statements'!F46:G46)</f>
        <v>55331.5</v>
      </c>
      <c r="Q40">
        <f>AVERAGE('Financial Statements'!G46:H46)</f>
        <v>38990</v>
      </c>
    </row>
    <row r="41" spans="1:17" x14ac:dyDescent="0.3">
      <c r="A41" s="27">
        <f t="shared" si="8"/>
        <v>4.2999999999999989</v>
      </c>
      <c r="B41" t="s">
        <v>41</v>
      </c>
      <c r="C41" s="28">
        <f>'Financial Statements'!B10/'List of Ratios'!L41</f>
        <v>8.6160340070102173</v>
      </c>
      <c r="D41" s="28">
        <f>'Financial Statements'!C10/'List of Ratios'!M41</f>
        <v>9.6515991849029863</v>
      </c>
      <c r="E41" s="28">
        <f>'Financial Statements'!D10/'List of Ratios'!N41</f>
        <v>10.53494987808182</v>
      </c>
      <c r="F41" s="28">
        <f t="shared" si="7"/>
        <v>8.4347968622331209</v>
      </c>
      <c r="G41" s="28">
        <f>'Financial Statements'!E10/'List of Ratios'!O41</f>
        <v>8.7885110562501652</v>
      </c>
      <c r="H41" s="28">
        <f>'Financial Statements'!F10/'List of Ratios'!P41</f>
        <v>8.3775924866801113</v>
      </c>
      <c r="I41" s="28">
        <f>'Financial Statements'!G10/'List of Ratios'!Q41</f>
        <v>8.1382870437690862</v>
      </c>
      <c r="K41" t="s">
        <v>160</v>
      </c>
      <c r="L41">
        <f>AVERAGE('Financial Statements'!B41:C41)</f>
        <v>33522.5</v>
      </c>
      <c r="M41">
        <f>AVERAGE('Financial Statements'!C41:D41)</f>
        <v>28217.5</v>
      </c>
      <c r="N41">
        <f>AVERAGE('Financial Statements'!D41:E41)</f>
        <v>22146</v>
      </c>
      <c r="O41">
        <f>AVERAGE('Financial Statements'!E41:F41)</f>
        <v>18835.5</v>
      </c>
      <c r="P41">
        <f>AVERAGE('Financial Statements'!F41:G41)</f>
        <v>16610.5</v>
      </c>
      <c r="Q41">
        <f>AVERAGE('Financial Statements'!G41:H41)</f>
        <v>13754</v>
      </c>
    </row>
    <row r="42" spans="1:17" x14ac:dyDescent="0.3">
      <c r="A42" s="27">
        <f t="shared" si="8"/>
        <v>4.3999999999999986</v>
      </c>
      <c r="B42" t="s">
        <v>42</v>
      </c>
      <c r="C42" s="25">
        <f>'Financial Statements'!B25/'Financial Statements'!B51</f>
        <v>-5.8831793375479545E-3</v>
      </c>
      <c r="D42" s="25">
        <f>'Financial Statements'!C25/'Financial Statements'!C51</f>
        <v>7.9334393851846041E-2</v>
      </c>
      <c r="E42" s="25">
        <f>'Financial Statements'!D25/'Financial Statements'!D51</f>
        <v>6.6411370040006856E-2</v>
      </c>
      <c r="F42" s="28">
        <f t="shared" si="7"/>
        <v>4.5491605787781941E-2</v>
      </c>
      <c r="G42" s="25">
        <f>'Financial Statements'!E25/'Financial Statements'!E51</f>
        <v>5.1445517829237106E-2</v>
      </c>
      <c r="H42" s="25">
        <f>'Financial Statements'!F25/'Financial Statements'!F51</f>
        <v>6.1931287196891449E-2</v>
      </c>
      <c r="I42" s="25">
        <f>'Financial Statements'!G25/'Financial Statements'!G51</f>
        <v>2.3098012337217273E-2</v>
      </c>
    </row>
    <row r="43" spans="1:17" x14ac:dyDescent="0.3">
      <c r="A43" s="27"/>
    </row>
    <row r="44" spans="1:17" x14ac:dyDescent="0.3">
      <c r="A44" s="27">
        <f>+A38+1</f>
        <v>5</v>
      </c>
      <c r="B44" s="9" t="s">
        <v>43</v>
      </c>
      <c r="C44" s="9"/>
      <c r="D44" s="9"/>
      <c r="E44" s="9"/>
      <c r="F44" s="9"/>
    </row>
    <row r="45" spans="1:17" x14ac:dyDescent="0.3">
      <c r="A45" s="27">
        <f>+A44+0.1</f>
        <v>5.0999999999999996</v>
      </c>
      <c r="B45" t="s">
        <v>44</v>
      </c>
      <c r="C45" s="28"/>
      <c r="D45" s="28">
        <f>M45/D46</f>
        <v>51.447923160006169</v>
      </c>
      <c r="E45" s="28">
        <f>N45/E46</f>
        <v>77.861103036098498</v>
      </c>
      <c r="F45" s="36">
        <f>AVERAGE(G45:I45)</f>
        <v>115.01338008193993</v>
      </c>
      <c r="G45" s="28">
        <f t="shared" ref="G45:I45" si="9">O45/G46</f>
        <v>80.305952194697952</v>
      </c>
      <c r="H45" s="28">
        <f t="shared" si="9"/>
        <v>74.576467725918562</v>
      </c>
      <c r="I45" s="28">
        <f t="shared" si="9"/>
        <v>190.15772032520326</v>
      </c>
      <c r="K45" t="s">
        <v>168</v>
      </c>
      <c r="L45">
        <v>84</v>
      </c>
      <c r="M45">
        <v>166.716995</v>
      </c>
      <c r="N45">
        <v>162.846497</v>
      </c>
      <c r="O45">
        <v>92.391998000000001</v>
      </c>
      <c r="P45">
        <v>75.098502999999994</v>
      </c>
      <c r="Q45">
        <v>58.473498999999997</v>
      </c>
    </row>
    <row r="46" spans="1:17" x14ac:dyDescent="0.3">
      <c r="A46" s="27">
        <f t="shared" ref="A46:A49" si="10">+A45+0.1</f>
        <v>5.1999999999999993</v>
      </c>
      <c r="B46" t="s">
        <v>45</v>
      </c>
      <c r="C46" s="36">
        <f>'Financial Statements'!B28</f>
        <v>-0.27</v>
      </c>
      <c r="D46" s="36">
        <f>'Financial Statements'!C28/20</f>
        <v>3.2404999999999999</v>
      </c>
      <c r="E46" s="36">
        <f>'Financial Statements'!D28/20</f>
        <v>2.0914999999999999</v>
      </c>
      <c r="F46" s="36">
        <f>AVERAGE(G46:I46)</f>
        <v>0.82166666666666677</v>
      </c>
      <c r="G46" s="36">
        <f>'Financial Statements'!E28/20</f>
        <v>1.1505000000000001</v>
      </c>
      <c r="H46" s="36">
        <f>'Financial Statements'!F28/20</f>
        <v>1.0070000000000001</v>
      </c>
      <c r="I46" s="36">
        <f>'Financial Statements'!G28/20</f>
        <v>0.3075</v>
      </c>
    </row>
    <row r="47" spans="1:17" x14ac:dyDescent="0.3">
      <c r="A47" s="27">
        <f t="shared" si="10"/>
        <v>5.2999999999999989</v>
      </c>
      <c r="B47" t="s">
        <v>46</v>
      </c>
      <c r="C47" s="29">
        <f>L45/C48</f>
        <v>5.8604383640434667</v>
      </c>
      <c r="D47" s="29">
        <f>M45/D48</f>
        <v>12.421317577489241</v>
      </c>
      <c r="E47" s="29">
        <f>N45/E48</f>
        <v>17.783331221360967</v>
      </c>
      <c r="F47" s="29"/>
      <c r="G47" s="29">
        <f t="shared" ref="G47:I47" si="11">O45/G48</f>
        <v>15.006628099258782</v>
      </c>
      <c r="H47" s="29">
        <f t="shared" si="11"/>
        <v>17.244598727869754</v>
      </c>
      <c r="I47" s="29">
        <f t="shared" si="11"/>
        <v>20.807272010538092</v>
      </c>
    </row>
    <row r="48" spans="1:17" x14ac:dyDescent="0.3">
      <c r="A48" s="27">
        <f t="shared" si="10"/>
        <v>5.3999999999999986</v>
      </c>
      <c r="B48" t="s">
        <v>47</v>
      </c>
      <c r="C48" s="28">
        <f>'Financial Statements'!B72/'Financial Statements'!B32</f>
        <v>14.333398763372264</v>
      </c>
      <c r="D48" s="28">
        <f>'Financial Statements'!C72/'Financial Statements'!C32/20</f>
        <v>13.421844660194173</v>
      </c>
      <c r="E48" s="28">
        <f>'Financial Statements'!D72/'Financial Statements'!D32/20</f>
        <v>9.1572549019607852</v>
      </c>
      <c r="F48" s="28"/>
      <c r="G48" s="28">
        <f>'Financial Statements'!E72/'Financial Statements'!E32/20</f>
        <v>6.1567460317460316</v>
      </c>
      <c r="H48" s="28">
        <f>'Financial Statements'!F72/'Financial Statements'!F32/20</f>
        <v>4.3548999999999998</v>
      </c>
      <c r="I48" s="28">
        <f>'Financial Statements'!G72/'Financial Statements'!G32/20</f>
        <v>2.8102434077079108</v>
      </c>
    </row>
    <row r="49" spans="1:9" x14ac:dyDescent="0.3">
      <c r="A49" s="27">
        <f t="shared" si="10"/>
        <v>5.4999999999999982</v>
      </c>
      <c r="B49" t="s">
        <v>48</v>
      </c>
      <c r="C49" s="25">
        <f>C50/C46</f>
        <v>0</v>
      </c>
      <c r="D49" s="25">
        <f t="shared" ref="D49:I49" si="12">D50/D46</f>
        <v>0</v>
      </c>
      <c r="E49" s="25">
        <f t="shared" si="12"/>
        <v>0</v>
      </c>
      <c r="F49" s="25"/>
      <c r="G49" s="25">
        <f t="shared" si="12"/>
        <v>0</v>
      </c>
      <c r="H49" s="25">
        <f t="shared" si="12"/>
        <v>0</v>
      </c>
      <c r="I49" s="25">
        <f t="shared" si="12"/>
        <v>0</v>
      </c>
    </row>
    <row r="50" spans="1:9" x14ac:dyDescent="0.3">
      <c r="A50" s="27"/>
      <c r="B50" t="s">
        <v>49</v>
      </c>
      <c r="C50" s="31">
        <v>0</v>
      </c>
      <c r="D50" s="31">
        <v>0</v>
      </c>
      <c r="E50" s="31">
        <v>0</v>
      </c>
      <c r="F50" s="31"/>
      <c r="G50" s="31">
        <v>0</v>
      </c>
      <c r="H50" s="31">
        <v>0</v>
      </c>
      <c r="I50" s="31">
        <v>0</v>
      </c>
    </row>
    <row r="51" spans="1:9" x14ac:dyDescent="0.3">
      <c r="A51" s="27">
        <f>+A49+0.1</f>
        <v>5.5999999999999979</v>
      </c>
      <c r="B51" t="s">
        <v>50</v>
      </c>
      <c r="C51" s="25">
        <f>C50/L45</f>
        <v>0</v>
      </c>
      <c r="D51" s="25">
        <f>D50/M45</f>
        <v>0</v>
      </c>
      <c r="E51" s="25">
        <f>E50/N45</f>
        <v>0</v>
      </c>
      <c r="F51" s="25"/>
      <c r="G51" s="25">
        <f t="shared" ref="G51:I51" si="13">G50/O45</f>
        <v>0</v>
      </c>
      <c r="H51" s="25">
        <f t="shared" si="13"/>
        <v>0</v>
      </c>
      <c r="I51" s="25">
        <f t="shared" si="13"/>
        <v>0</v>
      </c>
    </row>
    <row r="52" spans="1:9" x14ac:dyDescent="0.3">
      <c r="A52" s="27">
        <f t="shared" ref="A52:A55" si="14">+A50+0.1</f>
        <v>0.1</v>
      </c>
      <c r="B52" t="s">
        <v>51</v>
      </c>
      <c r="C52" s="25">
        <f>'Financial Statements'!B25/'Financial Statements'!B72</f>
        <v>-1.8638346240490815E-2</v>
      </c>
      <c r="D52" s="25">
        <f>'Financial Statements'!C25/'Financial Statements'!C72</f>
        <v>0.2413396506202756</v>
      </c>
      <c r="E52" s="25">
        <f>'Financial Statements'!D25/'Financial Statements'!D72</f>
        <v>0.22837351719412444</v>
      </c>
      <c r="F52" s="25">
        <f>AVERAGE(G52:I52)</f>
        <v>0.17582807255900831</v>
      </c>
      <c r="G52" s="25">
        <f>'Financial Statements'!E25/'Financial Statements'!E72</f>
        <v>0.1867225265871737</v>
      </c>
      <c r="H52" s="25">
        <f>'Financial Statements'!F25/'Financial Statements'!F72</f>
        <v>0.231302670555007</v>
      </c>
      <c r="I52" s="25">
        <f>'Financial Statements'!G25/'Financial Statements'!G72</f>
        <v>0.10945902053484427</v>
      </c>
    </row>
    <row r="53" spans="1:9" x14ac:dyDescent="0.3">
      <c r="A53" s="27">
        <f t="shared" si="14"/>
        <v>5.6999999999999975</v>
      </c>
      <c r="B53" t="s">
        <v>52</v>
      </c>
      <c r="C53" s="25">
        <f>'Financial Statements'!B25/('Financial Statements'!B61+'Financial Statements'!B72)</f>
        <v>-1.2767773801203605E-2</v>
      </c>
      <c r="D53" s="25">
        <f>'Financial Statements'!C25/('Financial Statements'!C61+'Financial Statements'!C72)</f>
        <v>0.17842760804111471</v>
      </c>
      <c r="E53" s="25">
        <f>'Financial Statements'!D25/('Financial Statements'!D61+'Financial Statements'!D72)</f>
        <v>0.17034818719054465</v>
      </c>
      <c r="F53" s="25">
        <f>AVERAGE(G53:I53)</f>
        <v>0.11454743423825485</v>
      </c>
      <c r="G53" s="25">
        <f>'Financial Statements'!E25/('Financial Statements'!E61+'Financial Statements'!E72)</f>
        <v>0.13557339073870417</v>
      </c>
      <c r="H53" s="25">
        <f>'Financial Statements'!F25/('Financial Statements'!F61+'Financial Statements'!F72)</f>
        <v>0.15024461547640355</v>
      </c>
      <c r="I53" s="25">
        <f>'Financial Statements'!G25/('Financial Statements'!G61+'Financial Statements'!G72)</f>
        <v>5.7824296499656827E-2</v>
      </c>
    </row>
    <row r="54" spans="1:9" x14ac:dyDescent="0.3">
      <c r="A54" s="27">
        <f t="shared" si="14"/>
        <v>0.2</v>
      </c>
      <c r="B54" t="s">
        <v>42</v>
      </c>
      <c r="C54" s="33">
        <f>C42</f>
        <v>-5.8831793375479545E-3</v>
      </c>
      <c r="D54" s="33">
        <f t="shared" ref="D54:I54" si="15">D42</f>
        <v>7.9334393851846041E-2</v>
      </c>
      <c r="E54" s="33">
        <f t="shared" si="15"/>
        <v>6.6411370040006856E-2</v>
      </c>
      <c r="F54" s="25">
        <f>AVERAGE(G54:I54)</f>
        <v>4.5491605787781941E-2</v>
      </c>
      <c r="G54" s="33">
        <f t="shared" si="15"/>
        <v>5.1445517829237106E-2</v>
      </c>
      <c r="H54" s="33">
        <f t="shared" si="15"/>
        <v>6.1931287196891449E-2</v>
      </c>
      <c r="I54" s="33">
        <f t="shared" si="15"/>
        <v>2.3098012337217273E-2</v>
      </c>
    </row>
    <row r="55" spans="1:9" x14ac:dyDescent="0.3">
      <c r="A55" s="27">
        <f t="shared" si="14"/>
        <v>5.7999999999999972</v>
      </c>
      <c r="B55" t="s">
        <v>53</v>
      </c>
      <c r="C55" s="28">
        <f>C56/C19</f>
        <v>17.094057486754416</v>
      </c>
      <c r="D55" s="28">
        <f t="shared" ref="D55:I55" si="16">D56/D19</f>
        <v>28.855462431770171</v>
      </c>
      <c r="E55" s="28">
        <f t="shared" si="16"/>
        <v>33.820518587746626</v>
      </c>
      <c r="F55" s="28"/>
      <c r="G55" s="28">
        <f t="shared" si="16"/>
        <v>25.351415916322598</v>
      </c>
      <c r="H55" s="28">
        <f t="shared" si="16"/>
        <v>26.055558649232765</v>
      </c>
      <c r="I55" s="28">
        <f t="shared" si="16"/>
        <v>35.620032751540037</v>
      </c>
    </row>
    <row r="56" spans="1:9" x14ac:dyDescent="0.3">
      <c r="A56" s="27"/>
      <c r="B56" t="s">
        <v>54</v>
      </c>
      <c r="C56" s="32">
        <f>SUM(C58:C62)</f>
        <v>925968</v>
      </c>
      <c r="D56" s="32">
        <f t="shared" ref="D56:I56" si="17">SUM(D58:D62)</f>
        <v>1707521.9893999998</v>
      </c>
      <c r="E56" s="32">
        <f t="shared" si="17"/>
        <v>1628457.97</v>
      </c>
      <c r="F56" s="32"/>
      <c r="G56" s="32">
        <f t="shared" si="17"/>
        <v>921016.94024000003</v>
      </c>
      <c r="H56" s="32">
        <f t="shared" si="17"/>
        <v>723354.41922000004</v>
      </c>
      <c r="I56" s="32">
        <f t="shared" si="17"/>
        <v>555102.59039999999</v>
      </c>
    </row>
    <row r="58" spans="1:9" x14ac:dyDescent="0.3">
      <c r="B58" s="19" t="s">
        <v>169</v>
      </c>
      <c r="C58" s="30">
        <f>'Financial Statements'!B31*'List of Ratios'!L45</f>
        <v>855876</v>
      </c>
      <c r="D58" s="30">
        <f>'Financial Statements'!C31*'List of Ratios'!M45*20</f>
        <v>1687175.9893999998</v>
      </c>
      <c r="E58" s="30">
        <f>'Financial Statements'!D31*'List of Ratios'!N45*20</f>
        <v>1628464.97</v>
      </c>
      <c r="F58" s="30"/>
      <c r="G58" s="30">
        <f>'Financial Statements'!E31*'List of Ratios'!O45*20</f>
        <v>912832.94024000003</v>
      </c>
      <c r="H58" s="30">
        <f>'Financial Statements'!F31*'List of Ratios'!P45*20</f>
        <v>731459.41922000004</v>
      </c>
      <c r="I58" s="30">
        <f>'Financial Statements'!G31*'List of Ratios'!Q45*20</f>
        <v>561345.59039999999</v>
      </c>
    </row>
    <row r="59" spans="1:9" x14ac:dyDescent="0.3">
      <c r="B59" s="34" t="s">
        <v>170</v>
      </c>
      <c r="C59" s="30">
        <f>'Financial Statements'!B61</f>
        <v>67150</v>
      </c>
      <c r="D59" s="30">
        <f>'Financial Statements'!C61</f>
        <v>48744</v>
      </c>
      <c r="E59" s="30">
        <f>'Financial Statements'!D61</f>
        <v>31816</v>
      </c>
      <c r="F59" s="30"/>
      <c r="G59" s="30">
        <f>'Financial Statements'!E61</f>
        <v>23414</v>
      </c>
      <c r="H59" s="30">
        <f>'Financial Statements'!F61</f>
        <v>23495</v>
      </c>
      <c r="I59" s="30">
        <f>'Financial Statements'!G61</f>
        <v>24743</v>
      </c>
    </row>
    <row r="60" spans="1:9" x14ac:dyDescent="0.3">
      <c r="B60" s="34" t="s">
        <v>173</v>
      </c>
      <c r="C60" s="30">
        <f>'Financial Statements'!B60</f>
        <v>72968</v>
      </c>
      <c r="D60" s="30">
        <f>'Financial Statements'!C60</f>
        <v>67651</v>
      </c>
      <c r="E60" s="30">
        <f>'Financial Statements'!D60</f>
        <v>52573</v>
      </c>
      <c r="F60" s="30"/>
      <c r="G60" s="30">
        <f>'Financial Statements'!E60</f>
        <v>39791</v>
      </c>
      <c r="H60" s="30">
        <f>'Financial Statements'!F60</f>
        <v>9650</v>
      </c>
      <c r="I60" s="30">
        <f>'Financial Statements'!G60</f>
        <v>0</v>
      </c>
    </row>
    <row r="61" spans="1:9" x14ac:dyDescent="0.3">
      <c r="B61" s="34" t="s">
        <v>171</v>
      </c>
      <c r="C61" s="30">
        <f>-'Financial Statements'!B39</f>
        <v>-53888</v>
      </c>
      <c r="D61" s="30">
        <f>-'Financial Statements'!C39</f>
        <v>-36220</v>
      </c>
      <c r="E61" s="30">
        <f>-'Financial Statements'!D39</f>
        <v>-42122</v>
      </c>
      <c r="F61" s="30"/>
      <c r="G61" s="30">
        <f>-'Financial Statements'!E39</f>
        <v>-36092</v>
      </c>
      <c r="H61" s="30">
        <f>-'Financial Statements'!F39</f>
        <v>-31750</v>
      </c>
      <c r="I61" s="30">
        <f>-'Financial Statements'!G39</f>
        <v>-20522</v>
      </c>
    </row>
    <row r="62" spans="1:9" x14ac:dyDescent="0.3">
      <c r="B62" s="34" t="s">
        <v>172</v>
      </c>
      <c r="C62" s="30">
        <f>-'Financial Statements'!B40</f>
        <v>-16138</v>
      </c>
      <c r="D62" s="30">
        <f>-'Financial Statements'!C40</f>
        <v>-59829</v>
      </c>
      <c r="E62" s="30">
        <f>-'Financial Statements'!D40</f>
        <v>-42274</v>
      </c>
      <c r="F62" s="30"/>
      <c r="G62" s="30">
        <f>-'Financial Statements'!E40</f>
        <v>-18929</v>
      </c>
      <c r="H62" s="30">
        <f>-'Financial Statements'!F40</f>
        <v>-9500</v>
      </c>
      <c r="I62" s="30">
        <f>-'Financial Statements'!G40</f>
        <v>-10464</v>
      </c>
    </row>
  </sheetData>
  <mergeCells count="1">
    <mergeCell ref="C2:I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ED055-8AAD-4ACC-80AC-D0E8A134D357}">
  <dimension ref="A2:H37"/>
  <sheetViews>
    <sheetView topLeftCell="A21" zoomScale="125" workbookViewId="0">
      <selection activeCell="M39" sqref="M39"/>
    </sheetView>
  </sheetViews>
  <sheetFormatPr defaultRowHeight="14.4" x14ac:dyDescent="0.3"/>
  <sheetData>
    <row r="2" spans="1:8" x14ac:dyDescent="0.3">
      <c r="B2">
        <v>2022</v>
      </c>
      <c r="C2">
        <v>2021</v>
      </c>
      <c r="D2" t="s">
        <v>174</v>
      </c>
    </row>
    <row r="3" spans="1:8" x14ac:dyDescent="0.3">
      <c r="A3" t="s">
        <v>14</v>
      </c>
      <c r="B3" s="36">
        <v>0.9446435811136924</v>
      </c>
      <c r="C3" s="36">
        <v>1.1357597739445826</v>
      </c>
      <c r="D3" s="36">
        <v>1.07837925317285</v>
      </c>
    </row>
    <row r="4" spans="1:8" x14ac:dyDescent="0.3">
      <c r="A4" t="s">
        <v>15</v>
      </c>
      <c r="B4" s="36">
        <v>0.72323721145740161</v>
      </c>
      <c r="C4" s="36">
        <v>0.90633039517523517</v>
      </c>
      <c r="D4" s="36">
        <v>0.82445735570109446</v>
      </c>
      <c r="E4" s="35"/>
      <c r="F4" s="35"/>
      <c r="G4" s="35"/>
      <c r="H4" s="35"/>
    </row>
    <row r="5" spans="1:8" x14ac:dyDescent="0.3">
      <c r="A5" t="s">
        <v>16</v>
      </c>
      <c r="B5" s="36">
        <v>0.45063805962945563</v>
      </c>
      <c r="C5" s="36">
        <v>0.67513671572968947</v>
      </c>
      <c r="D5" s="36">
        <v>0.58834934062995325</v>
      </c>
      <c r="E5" s="35"/>
      <c r="F5" s="35"/>
      <c r="G5" s="35"/>
      <c r="H5" s="35"/>
    </row>
    <row r="6" spans="1:8" x14ac:dyDescent="0.3">
      <c r="C6" s="35"/>
      <c r="D6" s="35"/>
      <c r="E6" s="35"/>
      <c r="F6" s="35"/>
      <c r="G6" s="35"/>
      <c r="H6" s="35"/>
    </row>
    <row r="7" spans="1:8" x14ac:dyDescent="0.3">
      <c r="C7" s="35"/>
      <c r="D7" s="35"/>
      <c r="E7" s="35"/>
      <c r="F7" s="35"/>
      <c r="G7" s="35"/>
      <c r="H7" s="35"/>
    </row>
    <row r="8" spans="1:8" x14ac:dyDescent="0.3">
      <c r="B8">
        <v>2022</v>
      </c>
      <c r="C8">
        <v>2021</v>
      </c>
      <c r="D8" t="s">
        <v>174</v>
      </c>
    </row>
    <row r="9" spans="1:8" x14ac:dyDescent="0.3">
      <c r="A9" t="s">
        <v>21</v>
      </c>
      <c r="B9" s="36">
        <v>-30.918017889787961</v>
      </c>
      <c r="C9" s="36">
        <v>-41.195271269116276</v>
      </c>
      <c r="D9" s="36">
        <v>-29.174606403262406</v>
      </c>
    </row>
    <row r="10" spans="1:8" x14ac:dyDescent="0.3">
      <c r="B10">
        <v>2022</v>
      </c>
      <c r="C10">
        <v>2021</v>
      </c>
      <c r="D10" t="s">
        <v>174</v>
      </c>
    </row>
    <row r="11" spans="1:8" x14ac:dyDescent="0.3">
      <c r="A11" t="s">
        <v>23</v>
      </c>
      <c r="B11">
        <v>-8602</v>
      </c>
      <c r="C11">
        <v>19314</v>
      </c>
      <c r="D11">
        <v>5848.666666666667</v>
      </c>
    </row>
    <row r="14" spans="1:8" x14ac:dyDescent="0.3">
      <c r="A14" s="9" t="s">
        <v>24</v>
      </c>
      <c r="B14">
        <v>2022</v>
      </c>
      <c r="C14">
        <v>2021</v>
      </c>
      <c r="D14" t="s">
        <v>174</v>
      </c>
      <c r="E14" s="9"/>
    </row>
    <row r="15" spans="1:8" x14ac:dyDescent="0.3">
      <c r="A15" t="s">
        <v>10</v>
      </c>
      <c r="B15" s="25">
        <v>0.43805339865326287</v>
      </c>
      <c r="C15" s="25">
        <v>0.42032514441639601</v>
      </c>
      <c r="D15" s="25">
        <v>0.39435260812122985</v>
      </c>
    </row>
    <row r="16" spans="1:8" x14ac:dyDescent="0.3">
      <c r="A16" t="s">
        <v>25</v>
      </c>
      <c r="B16" s="25">
        <v>0.10539064521589235</v>
      </c>
      <c r="C16" s="25">
        <v>0.1259519562728012</v>
      </c>
      <c r="D16" s="25">
        <v>0.11211103575766838</v>
      </c>
    </row>
    <row r="17" spans="1:8" x14ac:dyDescent="0.3">
      <c r="A17" t="s">
        <v>27</v>
      </c>
      <c r="B17" s="25">
        <v>2.3829581912242232E-2</v>
      </c>
      <c r="C17" s="25">
        <v>5.2954097509269465E-2</v>
      </c>
      <c r="D17" s="25">
        <v>4.2751726660289806E-2</v>
      </c>
    </row>
    <row r="18" spans="1:8" x14ac:dyDescent="0.3">
      <c r="A18" t="s">
        <v>29</v>
      </c>
      <c r="B18" s="25">
        <v>-5.2958950004183018E-3</v>
      </c>
      <c r="C18" s="25">
        <v>7.1014128755145567E-2</v>
      </c>
      <c r="D18" s="25">
        <v>3.3871200743497143E-2</v>
      </c>
    </row>
    <row r="20" spans="1:8" x14ac:dyDescent="0.3">
      <c r="B20">
        <v>2022</v>
      </c>
      <c r="C20">
        <v>2021</v>
      </c>
      <c r="D20" t="s">
        <v>174</v>
      </c>
    </row>
    <row r="21" spans="1:8" x14ac:dyDescent="0.3">
      <c r="A21" t="s">
        <v>31</v>
      </c>
      <c r="B21" s="28">
        <v>0.45979608745369516</v>
      </c>
      <c r="C21" s="28">
        <v>0.35259141379435061</v>
      </c>
      <c r="D21" s="28">
        <v>0.60324874657134142</v>
      </c>
    </row>
    <row r="22" spans="1:8" x14ac:dyDescent="0.3">
      <c r="A22" t="s">
        <v>32</v>
      </c>
      <c r="B22" s="28">
        <v>0.14513427351812827</v>
      </c>
      <c r="C22" s="28">
        <v>0.11590563763081116</v>
      </c>
      <c r="D22" s="28">
        <v>0.14561088523972418</v>
      </c>
      <c r="E22" s="36"/>
      <c r="F22" s="36"/>
      <c r="G22" s="36"/>
    </row>
    <row r="23" spans="1:8" x14ac:dyDescent="0.3">
      <c r="B23">
        <v>2022</v>
      </c>
      <c r="C23">
        <v>2021</v>
      </c>
      <c r="D23" t="s">
        <v>174</v>
      </c>
      <c r="E23" s="36"/>
      <c r="F23" s="36"/>
      <c r="G23" s="36"/>
      <c r="H23" s="36"/>
    </row>
    <row r="24" spans="1:8" x14ac:dyDescent="0.3">
      <c r="A24" t="s">
        <v>34</v>
      </c>
      <c r="B24">
        <v>5.1744824672581329</v>
      </c>
      <c r="C24" s="36">
        <v>13.752902155887231</v>
      </c>
      <c r="D24" s="36">
        <v>7.5652694399320026</v>
      </c>
      <c r="E24" s="36"/>
      <c r="F24" s="36"/>
      <c r="G24" s="36"/>
    </row>
    <row r="25" spans="1:8" x14ac:dyDescent="0.3">
      <c r="C25" s="36"/>
      <c r="D25" s="36"/>
      <c r="E25" s="36"/>
      <c r="F25" s="36"/>
      <c r="G25" s="36"/>
      <c r="H25" s="36"/>
    </row>
    <row r="26" spans="1:8" x14ac:dyDescent="0.3">
      <c r="B26">
        <v>2022</v>
      </c>
      <c r="C26">
        <v>2021</v>
      </c>
      <c r="D26" t="s">
        <v>174</v>
      </c>
      <c r="E26" s="36"/>
      <c r="F26" s="36"/>
      <c r="G26" s="36"/>
      <c r="H26" s="36"/>
    </row>
    <row r="27" spans="1:8" x14ac:dyDescent="0.3">
      <c r="A27" t="s">
        <v>39</v>
      </c>
      <c r="B27" s="28">
        <v>1.1638791518346421</v>
      </c>
      <c r="C27" s="28">
        <v>1.2668036411484285</v>
      </c>
      <c r="D27" s="28">
        <v>1.5625519357019115</v>
      </c>
    </row>
    <row r="28" spans="1:8" x14ac:dyDescent="0.3">
      <c r="A28" t="s">
        <v>41</v>
      </c>
      <c r="B28" s="28">
        <v>8.6160340070102173</v>
      </c>
      <c r="C28" s="28">
        <v>9.6515991849029863</v>
      </c>
      <c r="D28" s="28">
        <v>8.4347968622331209</v>
      </c>
    </row>
    <row r="31" spans="1:8" x14ac:dyDescent="0.3">
      <c r="B31">
        <v>2022</v>
      </c>
      <c r="C31">
        <v>2021</v>
      </c>
      <c r="D31" t="s">
        <v>174</v>
      </c>
    </row>
    <row r="32" spans="1:8" x14ac:dyDescent="0.3">
      <c r="A32" t="s">
        <v>175</v>
      </c>
      <c r="B32" s="25">
        <v>-1.8638346240490815E-2</v>
      </c>
      <c r="C32" s="25">
        <v>0.2413396506202756</v>
      </c>
      <c r="D32" s="25">
        <v>0.17582807255900831</v>
      </c>
    </row>
    <row r="33" spans="1:8" x14ac:dyDescent="0.3">
      <c r="A33" t="s">
        <v>176</v>
      </c>
      <c r="B33" s="25">
        <v>-1.2767773801203605E-2</v>
      </c>
      <c r="C33" s="25">
        <v>0.17842760804111471</v>
      </c>
      <c r="D33" s="25">
        <v>0.11454743423825485</v>
      </c>
    </row>
    <row r="34" spans="1:8" x14ac:dyDescent="0.3">
      <c r="A34" t="s">
        <v>177</v>
      </c>
      <c r="B34" s="33">
        <v>-5.8831793375479545E-3</v>
      </c>
      <c r="C34" s="33">
        <v>7.9334393851846041E-2</v>
      </c>
      <c r="D34" s="33">
        <v>4.5491605787781941E-2</v>
      </c>
    </row>
    <row r="35" spans="1:8" x14ac:dyDescent="0.3">
      <c r="B35">
        <v>2022</v>
      </c>
      <c r="C35">
        <v>2021</v>
      </c>
      <c r="D35" t="s">
        <v>174</v>
      </c>
      <c r="E35" s="36"/>
      <c r="F35" s="36"/>
      <c r="G35" s="36"/>
      <c r="H35" s="36"/>
    </row>
    <row r="36" spans="1:8" x14ac:dyDescent="0.3">
      <c r="A36" t="s">
        <v>45</v>
      </c>
      <c r="B36" s="36">
        <v>-0.27</v>
      </c>
      <c r="C36" s="36">
        <v>3.2404999999999999</v>
      </c>
      <c r="D36" s="36">
        <v>0.82166666666666677</v>
      </c>
      <c r="E36" s="36"/>
      <c r="F36" s="36"/>
      <c r="G36" s="36"/>
      <c r="H36" s="36"/>
    </row>
    <row r="37" spans="1:8" x14ac:dyDescent="0.3">
      <c r="C37" s="36"/>
      <c r="D37" s="36"/>
      <c r="E37" s="36"/>
      <c r="F37" s="36"/>
      <c r="G37" s="36"/>
      <c r="H37" s="36"/>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Financial Statements</vt:lpstr>
      <vt:lpstr>List of Ratios</vt:lpstr>
      <vt:lpstr>Charts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JAIN Tanish</cp:lastModifiedBy>
  <dcterms:created xsi:type="dcterms:W3CDTF">2020-05-19T16:15:53Z</dcterms:created>
  <dcterms:modified xsi:type="dcterms:W3CDTF">2024-02-22T17:15:16Z</dcterms:modified>
</cp:coreProperties>
</file>