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jaint\Desktop\Internship\"/>
    </mc:Choice>
  </mc:AlternateContent>
  <xr:revisionPtr revIDLastSave="0" documentId="13_ncr:1_{1443EE98-5EC4-42BE-BFDE-9F73875D4B4B}" xr6:coauthVersionLast="47" xr6:coauthVersionMax="47" xr10:uidLastSave="{00000000-0000-0000-0000-000000000000}"/>
  <bookViews>
    <workbookView xWindow="-108" yWindow="-108" windowWidth="23256" windowHeight="12456" xr2:uid="{00000000-000D-0000-FFFF-FFFF00000000}"/>
  </bookViews>
  <sheets>
    <sheet name="Instructions" sheetId="1" r:id="rId1"/>
    <sheet name="Financial Statements" sheetId="2" r:id="rId2"/>
    <sheet name="List of Ratios" sheetId="3" r:id="rId3"/>
    <sheet name="Charts"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3" l="1"/>
  <c r="F45" i="3"/>
  <c r="F46" i="3"/>
  <c r="F53" i="3"/>
  <c r="F52" i="3"/>
  <c r="F42" i="3"/>
  <c r="F41" i="3"/>
  <c r="F40" i="3"/>
  <c r="F39" i="3"/>
  <c r="F31" i="3"/>
  <c r="F30" i="3"/>
  <c r="F29" i="3"/>
  <c r="F28" i="3"/>
  <c r="F27" i="3"/>
  <c r="F26" i="3"/>
  <c r="F25" i="3"/>
  <c r="F22" i="3"/>
  <c r="F21" i="3"/>
  <c r="F19" i="3"/>
  <c r="F17" i="3"/>
  <c r="F6" i="3"/>
  <c r="F7" i="3"/>
  <c r="F8" i="3"/>
  <c r="F9" i="3"/>
  <c r="F10" i="3"/>
  <c r="F11" i="3"/>
  <c r="F12" i="3"/>
  <c r="F13" i="3"/>
  <c r="F14" i="3"/>
  <c r="F5" i="3"/>
  <c r="I58" i="3"/>
  <c r="H58" i="3"/>
  <c r="H56" i="3" s="1"/>
  <c r="G58" i="3"/>
  <c r="G56" i="3" s="1"/>
  <c r="E58" i="3"/>
  <c r="D58" i="3"/>
  <c r="I48" i="3"/>
  <c r="H48" i="3"/>
  <c r="G48" i="3"/>
  <c r="E48" i="3"/>
  <c r="H47" i="3"/>
  <c r="D48" i="3"/>
  <c r="D47" i="3" s="1"/>
  <c r="I46" i="3"/>
  <c r="I49" i="3" s="1"/>
  <c r="H46" i="3"/>
  <c r="H45" i="3" s="1"/>
  <c r="G46" i="3"/>
  <c r="G49" i="3" s="1"/>
  <c r="E46" i="3"/>
  <c r="E49" i="3" s="1"/>
  <c r="D46" i="3"/>
  <c r="D45" i="3" s="1"/>
  <c r="I60" i="3"/>
  <c r="H60" i="3"/>
  <c r="G60" i="3"/>
  <c r="E60" i="3"/>
  <c r="D60" i="3"/>
  <c r="C60" i="3"/>
  <c r="I62" i="3"/>
  <c r="H62" i="3"/>
  <c r="G62" i="3"/>
  <c r="E62" i="3"/>
  <c r="D62" i="3"/>
  <c r="C62" i="3"/>
  <c r="I61" i="3"/>
  <c r="H61" i="3"/>
  <c r="G61" i="3"/>
  <c r="E61" i="3"/>
  <c r="D61" i="3"/>
  <c r="C61" i="3"/>
  <c r="I59" i="3"/>
  <c r="H59" i="3"/>
  <c r="G59" i="3"/>
  <c r="E59" i="3"/>
  <c r="D59" i="3"/>
  <c r="C59" i="3"/>
  <c r="C58" i="3"/>
  <c r="C56" i="3" s="1"/>
  <c r="D54" i="3"/>
  <c r="I53" i="3"/>
  <c r="H53" i="3"/>
  <c r="G53" i="3"/>
  <c r="E53" i="3"/>
  <c r="D53" i="3"/>
  <c r="C53" i="3"/>
  <c r="I52" i="3"/>
  <c r="H52" i="3"/>
  <c r="G52" i="3"/>
  <c r="E52" i="3"/>
  <c r="D52" i="3"/>
  <c r="C52" i="3"/>
  <c r="I51" i="3"/>
  <c r="H51" i="3"/>
  <c r="G51" i="3"/>
  <c r="E51" i="3"/>
  <c r="D51" i="3"/>
  <c r="C51" i="3"/>
  <c r="I47" i="3"/>
  <c r="G47" i="3"/>
  <c r="E47" i="3"/>
  <c r="C48" i="3"/>
  <c r="C47" i="3" s="1"/>
  <c r="C46" i="3"/>
  <c r="I42" i="3"/>
  <c r="I54" i="3" s="1"/>
  <c r="H42" i="3"/>
  <c r="H54" i="3" s="1"/>
  <c r="G42" i="3"/>
  <c r="G54" i="3" s="1"/>
  <c r="E42" i="3"/>
  <c r="E54" i="3" s="1"/>
  <c r="D42" i="3"/>
  <c r="C42" i="3"/>
  <c r="C54" i="3" s="1"/>
  <c r="E41" i="3"/>
  <c r="D40" i="3"/>
  <c r="Q41" i="3"/>
  <c r="I41" i="3" s="1"/>
  <c r="P41" i="3"/>
  <c r="H41" i="3" s="1"/>
  <c r="O41" i="3"/>
  <c r="G41" i="3" s="1"/>
  <c r="N41" i="3"/>
  <c r="M41" i="3"/>
  <c r="D41" i="3" s="1"/>
  <c r="L41" i="3"/>
  <c r="C41" i="3" s="1"/>
  <c r="Q40" i="3"/>
  <c r="I40" i="3" s="1"/>
  <c r="P40" i="3"/>
  <c r="H40" i="3" s="1"/>
  <c r="O40" i="3"/>
  <c r="G40" i="3" s="1"/>
  <c r="N40" i="3"/>
  <c r="E40" i="3" s="1"/>
  <c r="M40" i="3"/>
  <c r="L40" i="3"/>
  <c r="C40" i="3" s="1"/>
  <c r="Q39" i="3"/>
  <c r="I39" i="3" s="1"/>
  <c r="P39" i="3"/>
  <c r="H39" i="3" s="1"/>
  <c r="O39" i="3"/>
  <c r="G39" i="3" s="1"/>
  <c r="N39" i="3"/>
  <c r="E39" i="3" s="1"/>
  <c r="M39" i="3"/>
  <c r="D39" i="3" s="1"/>
  <c r="L39" i="3"/>
  <c r="C39" i="3" s="1"/>
  <c r="E56" i="3" l="1"/>
  <c r="I56" i="3"/>
  <c r="D56" i="3"/>
  <c r="H49" i="3"/>
  <c r="G45" i="3"/>
  <c r="E45" i="3"/>
  <c r="C49" i="3"/>
  <c r="I45" i="3"/>
  <c r="D49" i="3"/>
  <c r="I35" i="3" l="1"/>
  <c r="H35" i="3"/>
  <c r="G35" i="3"/>
  <c r="E35" i="3"/>
  <c r="D35" i="3"/>
  <c r="C35" i="3"/>
  <c r="I36" i="3"/>
  <c r="H36" i="3"/>
  <c r="G36" i="3"/>
  <c r="E36" i="3"/>
  <c r="D36" i="3"/>
  <c r="I34" i="3"/>
  <c r="H34" i="3"/>
  <c r="G34" i="3"/>
  <c r="E34" i="3"/>
  <c r="D34" i="3"/>
  <c r="I33" i="3"/>
  <c r="I31" i="3" s="1"/>
  <c r="I30" i="3" s="1"/>
  <c r="H33" i="3"/>
  <c r="H31" i="3" s="1"/>
  <c r="H30" i="3" s="1"/>
  <c r="G33" i="3"/>
  <c r="E33" i="3"/>
  <c r="D33" i="3"/>
  <c r="D31" i="3" s="1"/>
  <c r="D30" i="3" s="1"/>
  <c r="C36" i="3"/>
  <c r="C34" i="3"/>
  <c r="C33" i="3"/>
  <c r="I29" i="3"/>
  <c r="H29" i="3"/>
  <c r="G29" i="3"/>
  <c r="E29" i="3"/>
  <c r="D29" i="3"/>
  <c r="C29" i="3"/>
  <c r="I28" i="3"/>
  <c r="H28" i="3"/>
  <c r="G28" i="3"/>
  <c r="E28" i="3"/>
  <c r="D28" i="3"/>
  <c r="C28" i="3"/>
  <c r="I27" i="3"/>
  <c r="H27" i="3"/>
  <c r="G27" i="3"/>
  <c r="E27" i="3"/>
  <c r="D27" i="3"/>
  <c r="C27" i="3"/>
  <c r="I26" i="3"/>
  <c r="H26" i="3"/>
  <c r="G26" i="3"/>
  <c r="E26" i="3"/>
  <c r="D26" i="3"/>
  <c r="C26" i="3"/>
  <c r="I25" i="3"/>
  <c r="H25" i="3"/>
  <c r="G25" i="3"/>
  <c r="E25" i="3"/>
  <c r="D25" i="3"/>
  <c r="C25" i="3"/>
  <c r="I22" i="3"/>
  <c r="H22" i="3"/>
  <c r="G22" i="3"/>
  <c r="E22" i="3"/>
  <c r="D22" i="3"/>
  <c r="C22" i="3"/>
  <c r="I21" i="3"/>
  <c r="I20" i="3" s="1"/>
  <c r="H21" i="3"/>
  <c r="H20" i="3" s="1"/>
  <c r="G21" i="3"/>
  <c r="G20" i="3" s="1"/>
  <c r="F20" i="3" s="1"/>
  <c r="E21" i="3"/>
  <c r="E20" i="3" s="1"/>
  <c r="D21" i="3"/>
  <c r="D20" i="3" s="1"/>
  <c r="C21" i="3"/>
  <c r="C20" i="3" s="1"/>
  <c r="I19" i="3"/>
  <c r="I18" i="3" s="1"/>
  <c r="H19" i="3"/>
  <c r="G19" i="3"/>
  <c r="E19" i="3"/>
  <c r="E18" i="3" s="1"/>
  <c r="D19" i="3"/>
  <c r="D18" i="3" s="1"/>
  <c r="C19" i="3"/>
  <c r="I17" i="3"/>
  <c r="H17" i="3"/>
  <c r="G17" i="3"/>
  <c r="E17" i="3"/>
  <c r="D17" i="3"/>
  <c r="C17" i="3"/>
  <c r="C14" i="3"/>
  <c r="C13" i="3" s="1"/>
  <c r="D14" i="3"/>
  <c r="D13" i="3" s="1"/>
  <c r="E14" i="3"/>
  <c r="E13" i="3" s="1"/>
  <c r="G14" i="3"/>
  <c r="G13" i="3" s="1"/>
  <c r="H14" i="3"/>
  <c r="H13" i="3" s="1"/>
  <c r="I14" i="3"/>
  <c r="I13" i="3" s="1"/>
  <c r="Q11" i="3"/>
  <c r="I11" i="3" s="1"/>
  <c r="P11" i="3"/>
  <c r="H11" i="3" s="1"/>
  <c r="O11" i="3"/>
  <c r="G11" i="3" s="1"/>
  <c r="N11" i="3"/>
  <c r="E11" i="3" s="1"/>
  <c r="M11" i="3"/>
  <c r="D11" i="3" s="1"/>
  <c r="L11" i="3"/>
  <c r="C11" i="3" s="1"/>
  <c r="Q10" i="3"/>
  <c r="I10" i="3" s="1"/>
  <c r="P10" i="3"/>
  <c r="H10" i="3" s="1"/>
  <c r="O10" i="3"/>
  <c r="G10" i="3" s="1"/>
  <c r="N10" i="3"/>
  <c r="E10" i="3" s="1"/>
  <c r="M10" i="3"/>
  <c r="D10" i="3" s="1"/>
  <c r="L10" i="3"/>
  <c r="C10" i="3" s="1"/>
  <c r="Q9" i="3"/>
  <c r="I9" i="3" s="1"/>
  <c r="P9" i="3"/>
  <c r="H9" i="3" s="1"/>
  <c r="O9" i="3"/>
  <c r="G9" i="3" s="1"/>
  <c r="N9" i="3"/>
  <c r="E9" i="3" s="1"/>
  <c r="M9" i="3"/>
  <c r="D9" i="3" s="1"/>
  <c r="L9" i="3"/>
  <c r="C9" i="3" s="1"/>
  <c r="I8" i="3"/>
  <c r="H8" i="3"/>
  <c r="G8" i="3"/>
  <c r="E8" i="3"/>
  <c r="D8" i="3"/>
  <c r="C8" i="3"/>
  <c r="I7" i="3"/>
  <c r="H7" i="3"/>
  <c r="G7" i="3"/>
  <c r="E7" i="3"/>
  <c r="D7" i="3"/>
  <c r="C7" i="3"/>
  <c r="I6" i="3"/>
  <c r="H6" i="3"/>
  <c r="G6" i="3"/>
  <c r="E6" i="3"/>
  <c r="D6" i="3"/>
  <c r="C6" i="3"/>
  <c r="G18" i="3" l="1"/>
  <c r="F18" i="3" s="1"/>
  <c r="G55" i="3"/>
  <c r="H18" i="3"/>
  <c r="H55" i="3"/>
  <c r="E31" i="3"/>
  <c r="E30" i="3" s="1"/>
  <c r="G31" i="3"/>
  <c r="G30" i="3" s="1"/>
  <c r="C18" i="3"/>
  <c r="C55" i="3"/>
  <c r="C31" i="3"/>
  <c r="C30" i="3" s="1"/>
  <c r="E55" i="3"/>
  <c r="I55" i="3"/>
  <c r="D55" i="3"/>
  <c r="C12" i="3"/>
  <c r="D12" i="3"/>
  <c r="H12" i="3"/>
  <c r="I12" i="3"/>
  <c r="E12" i="3"/>
  <c r="G12" i="3"/>
  <c r="I5" i="3" l="1"/>
  <c r="H5" i="3"/>
  <c r="G5" i="3"/>
  <c r="E5" i="3"/>
  <c r="D5" i="3"/>
  <c r="C5" i="3"/>
  <c r="E3" i="3"/>
  <c r="D3" i="3"/>
  <c r="C3" i="3"/>
  <c r="B1" i="3"/>
  <c r="B73" i="2"/>
  <c r="B72" i="2"/>
  <c r="G112" i="2"/>
  <c r="F112" i="2"/>
  <c r="E112" i="2"/>
  <c r="D112" i="2"/>
  <c r="B112" i="2"/>
  <c r="C112" i="2"/>
  <c r="C103" i="2"/>
  <c r="B103" i="2"/>
  <c r="C96" i="2"/>
  <c r="B96" i="2"/>
  <c r="B114" i="2" s="1"/>
  <c r="B115" i="2" s="1"/>
  <c r="C72" i="2"/>
  <c r="B63" i="2"/>
  <c r="C63" i="2"/>
  <c r="C58" i="2"/>
  <c r="B58" i="2"/>
  <c r="B50" i="2"/>
  <c r="C50" i="2"/>
  <c r="C43" i="2"/>
  <c r="B43" i="2"/>
  <c r="B21" i="2"/>
  <c r="C21" i="2"/>
  <c r="C8" i="2"/>
  <c r="C16" i="2"/>
  <c r="B16" i="2"/>
  <c r="B8" i="2"/>
  <c r="B17" i="2" s="1"/>
  <c r="B22" i="2" s="1"/>
  <c r="B25" i="2" s="1"/>
  <c r="D72" i="2"/>
  <c r="D63" i="2"/>
  <c r="D58" i="2"/>
  <c r="D50" i="2"/>
  <c r="D43" i="2"/>
  <c r="D103" i="2"/>
  <c r="D96" i="2"/>
  <c r="D21" i="2"/>
  <c r="D16" i="2"/>
  <c r="D8" i="2"/>
  <c r="H72" i="2"/>
  <c r="H63" i="2"/>
  <c r="H58" i="2"/>
  <c r="H50" i="2"/>
  <c r="H43" i="2"/>
  <c r="G72" i="2"/>
  <c r="H21" i="2"/>
  <c r="H16" i="2"/>
  <c r="H8" i="2"/>
  <c r="G16" i="2"/>
  <c r="F16" i="2"/>
  <c r="E16" i="2"/>
  <c r="G103" i="2"/>
  <c r="F103" i="2"/>
  <c r="E103" i="2"/>
  <c r="G96" i="2"/>
  <c r="F96" i="2"/>
  <c r="E96" i="2"/>
  <c r="C51" i="2" l="1"/>
  <c r="D51" i="2"/>
  <c r="C73" i="2"/>
  <c r="B51" i="2"/>
  <c r="D114" i="2"/>
  <c r="D115" i="2" s="1"/>
  <c r="C114" i="2"/>
  <c r="C115" i="2" s="1"/>
  <c r="D73" i="2"/>
  <c r="H17" i="2"/>
  <c r="C17" i="2"/>
  <c r="C22" i="2" s="1"/>
  <c r="C25" i="2" s="1"/>
  <c r="H22" i="2"/>
  <c r="H25" i="2" s="1"/>
  <c r="D17" i="2"/>
  <c r="D22" i="2" s="1"/>
  <c r="D25" i="2" s="1"/>
  <c r="H51" i="2"/>
  <c r="H73" i="2"/>
  <c r="F114" i="2"/>
  <c r="F115" i="2" s="1"/>
  <c r="G114" i="2"/>
  <c r="G115" i="2" s="1"/>
  <c r="E114" i="2"/>
  <c r="E115" i="2" s="1"/>
  <c r="F72" i="2" l="1"/>
  <c r="E72" i="2"/>
  <c r="G63" i="2" l="1"/>
  <c r="F63" i="2"/>
  <c r="E63" i="2"/>
  <c r="G58" i="2"/>
  <c r="F58" i="2"/>
  <c r="E58" i="2"/>
  <c r="G50" i="2"/>
  <c r="F50" i="2"/>
  <c r="E50" i="2"/>
  <c r="G43" i="2"/>
  <c r="F43" i="2"/>
  <c r="E43" i="2"/>
  <c r="G21" i="2"/>
  <c r="F21" i="2"/>
  <c r="E21" i="2"/>
  <c r="G73" i="2" l="1"/>
  <c r="F73" i="2"/>
  <c r="E73" i="2"/>
  <c r="G51" i="2"/>
  <c r="F51" i="2"/>
  <c r="E51" i="2"/>
  <c r="G8" i="2"/>
  <c r="G17" i="2" s="1"/>
  <c r="F8" i="2"/>
  <c r="F17" i="2" s="1"/>
  <c r="E8" i="2"/>
  <c r="E17" i="2" s="1"/>
  <c r="A52" i="3"/>
  <c r="A54" i="3" s="1"/>
  <c r="A16" i="3"/>
  <c r="A24" i="3" s="1"/>
  <c r="A5" i="3"/>
  <c r="A6" i="3" s="1"/>
  <c r="A7" i="3" s="1"/>
  <c r="A8" i="3" s="1"/>
  <c r="A9" i="3" s="1"/>
  <c r="A10" i="3" s="1"/>
  <c r="A11" i="3" s="1"/>
  <c r="A12" i="3" s="1"/>
  <c r="A13" i="3" s="1"/>
  <c r="G22" i="2" l="1"/>
  <c r="G25" i="2" s="1"/>
  <c r="F22" i="2"/>
  <c r="F25" i="2" s="1"/>
  <c r="E22" i="2"/>
  <c r="E25" i="2" s="1"/>
  <c r="A38" i="3"/>
  <c r="A25" i="3"/>
  <c r="A26" i="3" s="1"/>
  <c r="A27" i="3" s="1"/>
  <c r="A28" i="3" s="1"/>
  <c r="A29" i="3" s="1"/>
  <c r="A30" i="3" s="1"/>
  <c r="A17" i="3"/>
  <c r="A18" i="3" s="1"/>
  <c r="A20" i="3" s="1"/>
  <c r="A22" i="3" s="1"/>
  <c r="A39" i="3" l="1"/>
  <c r="A40" i="3" s="1"/>
  <c r="A41" i="3" s="1"/>
  <c r="A42" i="3" s="1"/>
  <c r="A44" i="3"/>
  <c r="A45" i="3" s="1"/>
  <c r="A46" i="3" s="1"/>
  <c r="A47" i="3" s="1"/>
  <c r="A48" i="3" s="1"/>
  <c r="A49" i="3" s="1"/>
  <c r="A51" i="3" s="1"/>
  <c r="A53" i="3" s="1"/>
  <c r="A55" i="3" s="1"/>
</calcChain>
</file>

<file path=xl/sharedStrings.xml><?xml version="1.0" encoding="utf-8"?>
<sst xmlns="http://schemas.openxmlformats.org/spreadsheetml/2006/main" count="215" uniqueCount="178">
  <si>
    <t>Instructions</t>
  </si>
  <si>
    <t>https://ir.aboutamazon.com/annual-reports-proxies-and-shareholder-letters/default.aspx</t>
  </si>
  <si>
    <t>You are required write up a 1-2 page report commenting on the financial health of Amazon Inc. based on the ratios you have calculated, addressing the five key topics mentioned in the ratios tab.</t>
  </si>
  <si>
    <t>Formats:</t>
  </si>
  <si>
    <t>However make sure you have covered the five key topics in the ratio analysis</t>
  </si>
  <si>
    <t>Please refer to the below website in order to download the company financial statements:</t>
  </si>
  <si>
    <t>You are free to use any additional publicly available information/ news articles whilst mentioning the sources at the end page</t>
  </si>
  <si>
    <t>The report should be submitted as a word document</t>
  </si>
  <si>
    <t>The supporting calculations should be submitted in excel document as same as the previous task.</t>
  </si>
  <si>
    <t>CONSOLIDATED STATEMENTS OF OPERATIONS</t>
  </si>
  <si>
    <t>Gross margin</t>
  </si>
  <si>
    <t>CONSOLIDATED BALANCE SHEETS</t>
  </si>
  <si>
    <t>CONSOLIDATED STATEMENTS OF CASH FLOWS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</si>
  <si>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</si>
  <si>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</si>
  <si>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</si>
  <si>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</si>
  <si>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</si>
  <si>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</si>
  <si>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</si>
  <si>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</si>
  <si>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</si>
  <si>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</si>
  <si>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</si>
  <si>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</si>
  <si>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</si>
  <si>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</si>
  <si>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</si>
  <si>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</si>
  <si>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</si>
  <si>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</si>
  <si>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</si>
  <si>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</si>
  <si>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</si>
  <si>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</si>
  <si>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</si>
  <si>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</si>
  <si>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</si>
  <si>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</si>
  <si>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</si>
  <si>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</si>
  <si>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</si>
  <si>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</si>
  <si>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</si>
  <si>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</si>
  <si>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</si>
  <si>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</si>
  <si>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</si>
  <si>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</si>
  <si>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</si>
  <si>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</si>
  <si>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</si>
  <si>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</si>
  <si>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</si>
  <si>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</si>
  <si>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 xml:space="preserve">Years ended </t>
  </si>
  <si>
    <t xml:space="preserve">As at </t>
  </si>
  <si>
    <t>Years ended ,</t>
  </si>
  <si>
    <t>Please input the three financial statements in the format from previous task, attached here in the second tab</t>
  </si>
  <si>
    <t>Perform the calculations on tab three similar to previous task.</t>
  </si>
  <si>
    <t>Perform a management report, analyzing the financial health of Amazon Inc. based on its recent two annual reports (2022 &amp; 2021).</t>
  </si>
  <si>
    <t>Net product sales</t>
  </si>
  <si>
    <t>Net service sales</t>
  </si>
  <si>
    <t>Total net sales</t>
  </si>
  <si>
    <t>Operating expenses:</t>
  </si>
  <si>
    <t>Cost of sales</t>
  </si>
  <si>
    <t>Fulfillment</t>
  </si>
  <si>
    <t>Technology and content</t>
  </si>
  <si>
    <t>Marketing</t>
  </si>
  <si>
    <t>General and administrative</t>
  </si>
  <si>
    <t>Other operating expense (income), net</t>
  </si>
  <si>
    <t>Total operating expenses</t>
  </si>
  <si>
    <t>Operating income</t>
  </si>
  <si>
    <t>Amazon Inc</t>
  </si>
  <si>
    <t>(in millions, except per share data)</t>
  </si>
  <si>
    <t>Interest income</t>
  </si>
  <si>
    <t>Interest expense</t>
  </si>
  <si>
    <t>Other income (expense), net</t>
  </si>
  <si>
    <t>Total non-operating income (expense)</t>
  </si>
  <si>
    <t>Income before income taxes</t>
  </si>
  <si>
    <t>Provision for income taxes</t>
  </si>
  <si>
    <t>Equity-method investment activity, net of tax</t>
  </si>
  <si>
    <t>Net income</t>
  </si>
  <si>
    <t>Basic earnings per share</t>
  </si>
  <si>
    <t>Diluted earnings per share</t>
  </si>
  <si>
    <t>Basic</t>
  </si>
  <si>
    <t>Diluted</t>
  </si>
  <si>
    <t>Weighted-average shares used in computation of earnings per share:</t>
  </si>
  <si>
    <t>ASSETS</t>
  </si>
  <si>
    <t>Current assets:</t>
  </si>
  <si>
    <t>Cash and cash equivalents</t>
  </si>
  <si>
    <t>Marketable securities</t>
  </si>
  <si>
    <t>Inventories</t>
  </si>
  <si>
    <t>Accounts receivable, net and other</t>
  </si>
  <si>
    <t>Total current assets</t>
  </si>
  <si>
    <t>Property and equipment, net</t>
  </si>
  <si>
    <t>Operating leases</t>
  </si>
  <si>
    <t>Goodwill</t>
  </si>
  <si>
    <t>Other assets</t>
  </si>
  <si>
    <t>Total non current assets</t>
  </si>
  <si>
    <t>Total assets</t>
  </si>
  <si>
    <t>LIABILITIES AND STOCKHOLDERS' EQUITY</t>
  </si>
  <si>
    <t>Current liabilities:</t>
  </si>
  <si>
    <t>Accounts payable</t>
  </si>
  <si>
    <t>Accrued expenses and other</t>
  </si>
  <si>
    <t>Unearned revenue</t>
  </si>
  <si>
    <t>Total current liabilities</t>
  </si>
  <si>
    <t>Long-term lease liabilities</t>
  </si>
  <si>
    <t>Long-term debt</t>
  </si>
  <si>
    <t>Other long-term liabilities</t>
  </si>
  <si>
    <t>Total non current liabilities</t>
  </si>
  <si>
    <t>Stockholders' equity:</t>
  </si>
  <si>
    <t>Treasury stock, at cost</t>
  </si>
  <si>
    <t>Additional paid-in capital</t>
  </si>
  <si>
    <t>Accumulated other comprehensive income (loss)</t>
  </si>
  <si>
    <t>Retained earnings</t>
  </si>
  <si>
    <t>Preferred stock, $0.01 par value: Authorized shares - 500 Issued and outstanding shares - none</t>
  </si>
  <si>
    <t>Common stock, $0.01 par value: Authorized shares - 5,000 Issued shares - 514 and 521 Outstanding shares - 491 and 498</t>
  </si>
  <si>
    <t>Total stockholders' equity</t>
  </si>
  <si>
    <t>Total liabilities and stockholders' equity</t>
  </si>
  <si>
    <t>CASH, CASH EQUIVALENTS, AND RESTRICTED CASH, BEGINNING OF PERIOD</t>
  </si>
  <si>
    <t>OPERATING ACTIVITIES:</t>
  </si>
  <si>
    <t>Adjustments to reconcile net income to net cash</t>
  </si>
  <si>
    <t>from operating activities:</t>
  </si>
  <si>
    <t>Stock-based compensation</t>
  </si>
  <si>
    <t>Other expense (income), net</t>
  </si>
  <si>
    <t>Deferred income taxes</t>
  </si>
  <si>
    <t>Changes in operating assets and liabilities:</t>
  </si>
  <si>
    <t>Net cash provided by (used in) operating</t>
  </si>
  <si>
    <t>Depreciation and amortization of property and equipment and capitalized content costs, operating lease assets, and other</t>
  </si>
  <si>
    <t>INVESTING ACTIVITIES:</t>
  </si>
  <si>
    <t>Purchases of property and equipment</t>
  </si>
  <si>
    <t>Proceeds from property and equipment sales and incentives</t>
  </si>
  <si>
    <t>Acquisitions, net of cash acquired, and other</t>
  </si>
  <si>
    <t>Sales and maturities of marketable securities</t>
  </si>
  <si>
    <t>Purchases of marketable securities</t>
  </si>
  <si>
    <t>Net cash provided by (used in) investing activities</t>
  </si>
  <si>
    <t>FINANCING ACTIVITIES:</t>
  </si>
  <si>
    <t>Proceeds from long-term debt and other</t>
  </si>
  <si>
    <t>Repayments of long-term debt and other</t>
  </si>
  <si>
    <t>Principal repayments of finance leases</t>
  </si>
  <si>
    <t>Principal repayments of financing obligations</t>
  </si>
  <si>
    <t>Net cash provided by (used in) financing activities</t>
  </si>
  <si>
    <t>SUPPLEMENTAL CASH FLOW INFORMATION:</t>
  </si>
  <si>
    <t>Cash paid for interest on long-term debt</t>
  </si>
  <si>
    <t>Cash paid for operating leases</t>
  </si>
  <si>
    <t>Cash paid for interest on finance leases</t>
  </si>
  <si>
    <t>Cash paid for interest on financing obligations</t>
  </si>
  <si>
    <t>Cash paid for income taxes, net of refunds</t>
  </si>
  <si>
    <t>Assets acquired under operating leases</t>
  </si>
  <si>
    <t>Foreign currency effect on cash, cash equivalents, and restricted cash</t>
  </si>
  <si>
    <t>Net increase (decrease) in cash, cash equivalents, and restricted cash</t>
  </si>
  <si>
    <t>CASH, CASH EQUIVALENTS, AND RESTRICTED CASH, END OF PERIOD</t>
  </si>
  <si>
    <t>Property and equipment acquired under finance leases</t>
  </si>
  <si>
    <t>Property and equipment acquired under build-to-suit arrangements</t>
  </si>
  <si>
    <t>Non current assets</t>
  </si>
  <si>
    <t>Proceeds from short-term debt, and other</t>
  </si>
  <si>
    <t>Repayments of short-term debt, and other</t>
  </si>
  <si>
    <t>Common stock repurchased</t>
  </si>
  <si>
    <t>Common Stock Split :
On May 27, 2022, we effected a 20-for-1 stock split of our common stock and proportionately increased the number of authorized shares of common
stock. All share, restricted stock unit (“RSU”), and per share or per RSU information throughout this Annual Report on Form 10-K has been retroactively
adjusted to reflect the stock split. The shares of common stock retain a par value of $0.01 per share. Accordingly, an amount equal to the par value of the
increased shares resulting from the stock split was reclassified from “Additional paid-in capital” to “Common stock.”</t>
  </si>
  <si>
    <t>Average inventory</t>
  </si>
  <si>
    <t>Average Payable</t>
  </si>
  <si>
    <t>Average receivable</t>
  </si>
  <si>
    <t>+ Depreciation and amortization</t>
  </si>
  <si>
    <t>- Working capital changes</t>
  </si>
  <si>
    <t>- Capex</t>
  </si>
  <si>
    <t>Average assets</t>
  </si>
  <si>
    <t>Average FA</t>
  </si>
  <si>
    <t>Price as on 31 December</t>
  </si>
  <si>
    <t>Equity value</t>
  </si>
  <si>
    <t>+ Debt</t>
  </si>
  <si>
    <t>- Cash and cash equivalents</t>
  </si>
  <si>
    <t>- Marketable securities</t>
  </si>
  <si>
    <t>+ Long-term lease liabilities</t>
  </si>
  <si>
    <t>Average</t>
  </si>
  <si>
    <t>ROE</t>
  </si>
  <si>
    <t>ROCE</t>
  </si>
  <si>
    <t>ROA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</si>
</sst>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_(* #,##0.0_);_(* \(#,##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u/>
      <sz val="11"/>
      <color theme="10"/>
      <name val="Calibri"/>
      <family val="2"/>
      <scheme val="minor"/>
    </font>
    <font>
      <b/>
      <sz val="20"/>
      <color theme="0"/>
      <name val="Calibri"/>
      <family val="2"/>
      <scheme val="minor"/>
    </font>
    <font>
      <sz val="20"/>
      <color theme="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s>
  <borders count="3">
    <border>
      <left/>
      <right/>
      <top/>
      <bottom/>
      <diagonal/>
    </border>
    <border>
      <left/>
      <right/>
      <top style="thin">
        <color indexed="64"/>
      </top>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39">
    <xf numFmtId="0" fontId="0" fillId="0" borderId="0" xfId="0"/>
    <xf numFmtId="0" fontId="0" fillId="0" borderId="0" xfId="0" applyAlignment="1">
      <alignment horizontal="left" indent="1"/>
    </xf>
    <xf numFmtId="0" fontId="0" fillId="0" borderId="0" xfId="0" applyAlignment="1">
      <alignment wrapText="1"/>
    </xf>
    <xf numFmtId="0" fontId="4" fillId="2" borderId="0" xfId="0" applyFont="1" applyFill="1" applyAlignment="1">
      <alignment wrapText="1"/>
    </xf>
    <xf numFmtId="0" fontId="2" fillId="0" borderId="0" xfId="0" applyFont="1" applyAlignment="1">
      <alignment wrapText="1"/>
    </xf>
    <xf numFmtId="0" fontId="0" fillId="0" borderId="0" xfId="0" applyAlignment="1">
      <alignment horizontal="left" wrapText="1" indent="1"/>
    </xf>
    <xf numFmtId="0" fontId="5" fillId="0" borderId="0" xfId="2" applyAlignment="1">
      <alignment horizontal="left" wrapText="1" indent="1"/>
    </xf>
    <xf numFmtId="0" fontId="6" fillId="2" borderId="0" xfId="0" applyFont="1" applyFill="1" applyAlignment="1">
      <alignment vertical="center"/>
    </xf>
    <xf numFmtId="0" fontId="3" fillId="2" borderId="0" xfId="0" applyFont="1" applyFill="1"/>
    <xf numFmtId="0" fontId="2" fillId="0" borderId="0" xfId="0" applyFont="1"/>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0" fontId="0" fillId="4" borderId="0" xfId="0" applyFill="1"/>
    <xf numFmtId="3" fontId="0" fillId="0" borderId="0" xfId="0" applyNumberFormat="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164" fontId="1" fillId="0" borderId="0" xfId="1" applyNumberFormat="1" applyFont="1" applyBorder="1"/>
    <xf numFmtId="164" fontId="1" fillId="0" borderId="0" xfId="1" applyNumberFormat="1" applyFont="1"/>
    <xf numFmtId="0" fontId="0" fillId="0" borderId="0" xfId="0" applyAlignment="1">
      <alignment horizontal="left"/>
    </xf>
    <xf numFmtId="0" fontId="0" fillId="0" borderId="1" xfId="0" applyBorder="1"/>
    <xf numFmtId="164" fontId="2" fillId="0" borderId="0" xfId="1" applyNumberFormat="1" applyFont="1" applyBorder="1"/>
    <xf numFmtId="9" fontId="0" fillId="0" borderId="0" xfId="3" applyFont="1" applyAlignment="1"/>
    <xf numFmtId="0" fontId="7" fillId="2" borderId="0" xfId="0" applyFont="1" applyFill="1"/>
    <xf numFmtId="165" fontId="0" fillId="0" borderId="0" xfId="0" applyNumberFormat="1"/>
    <xf numFmtId="43" fontId="0" fillId="0" borderId="0" xfId="1" applyFont="1" applyAlignment="1"/>
    <xf numFmtId="43" fontId="0" fillId="0" borderId="0" xfId="0" applyNumberFormat="1"/>
    <xf numFmtId="164" fontId="0" fillId="0" borderId="0" xfId="1" applyNumberFormat="1" applyFont="1" applyAlignment="1"/>
    <xf numFmtId="166" fontId="0" fillId="0" borderId="0" xfId="1" applyNumberFormat="1" applyFont="1" applyAlignment="1"/>
    <xf numFmtId="164" fontId="0" fillId="0" borderId="0" xfId="0" applyNumberFormat="1"/>
    <xf numFmtId="9" fontId="0" fillId="0" borderId="0" xfId="0" applyNumberFormat="1"/>
    <xf numFmtId="0" fontId="0" fillId="0" borderId="0" xfId="0" quotePrefix="1" applyAlignment="1">
      <alignment horizontal="left" indent="2"/>
    </xf>
    <xf numFmtId="9" fontId="0" fillId="0" borderId="0" xfId="3" applyFont="1"/>
    <xf numFmtId="43" fontId="0" fillId="0" borderId="0" xfId="1" applyFont="1"/>
    <xf numFmtId="0" fontId="2" fillId="0" borderId="0" xfId="0" applyFont="1" applyAlignment="1">
      <alignment horizontal="center"/>
    </xf>
    <xf numFmtId="0" fontId="2" fillId="3" borderId="0" xfId="0" applyFont="1" applyFill="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IN"/>
              <a:t>Fig 2.1 Profitablilty</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Charts!$B$14</c:f>
              <c:strCache>
                <c:ptCount val="1"/>
                <c:pt idx="0">
                  <c:v>2022</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Charts!$A$15:$A$18</c:f>
              <c:strCache>
                <c:ptCount val="4"/>
                <c:pt idx="0">
                  <c:v>Gross margin</c:v>
                </c:pt>
                <c:pt idx="1">
                  <c:v>EBITDA margin</c:v>
                </c:pt>
                <c:pt idx="2">
                  <c:v>EBIT margin</c:v>
                </c:pt>
                <c:pt idx="3">
                  <c:v>Net margin</c:v>
                </c:pt>
              </c:strCache>
            </c:strRef>
          </c:cat>
          <c:val>
            <c:numRef>
              <c:f>Charts!$B$15:$B$18</c:f>
              <c:numCache>
                <c:formatCode>0%</c:formatCode>
                <c:ptCount val="4"/>
                <c:pt idx="0">
                  <c:v>0.43805339865326287</c:v>
                </c:pt>
                <c:pt idx="1">
                  <c:v>0.10539064521589235</c:v>
                </c:pt>
                <c:pt idx="2">
                  <c:v>2.3829581912242232E-2</c:v>
                </c:pt>
                <c:pt idx="3">
                  <c:v>-5.2958950004183018E-3</c:v>
                </c:pt>
              </c:numCache>
            </c:numRef>
          </c:val>
          <c:extLst>
            <c:ext xmlns:c16="http://schemas.microsoft.com/office/drawing/2014/chart" uri="{C3380CC4-5D6E-409C-BE32-E72D297353CC}">
              <c16:uniqueId val="{00000000-F422-4889-AC75-FA5031D7879B}"/>
            </c:ext>
          </c:extLst>
        </c:ser>
        <c:ser>
          <c:idx val="1"/>
          <c:order val="1"/>
          <c:tx>
            <c:strRef>
              <c:f>Charts!$C$14</c:f>
              <c:strCache>
                <c:ptCount val="1"/>
                <c:pt idx="0">
                  <c:v>2021</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Charts!$A$15:$A$18</c:f>
              <c:strCache>
                <c:ptCount val="4"/>
                <c:pt idx="0">
                  <c:v>Gross margin</c:v>
                </c:pt>
                <c:pt idx="1">
                  <c:v>EBITDA margin</c:v>
                </c:pt>
                <c:pt idx="2">
                  <c:v>EBIT margin</c:v>
                </c:pt>
                <c:pt idx="3">
                  <c:v>Net margin</c:v>
                </c:pt>
              </c:strCache>
            </c:strRef>
          </c:cat>
          <c:val>
            <c:numRef>
              <c:f>Charts!$C$15:$C$18</c:f>
              <c:numCache>
                <c:formatCode>0%</c:formatCode>
                <c:ptCount val="4"/>
                <c:pt idx="0">
                  <c:v>0.42032514441639601</c:v>
                </c:pt>
                <c:pt idx="1">
                  <c:v>0.1259519562728012</c:v>
                </c:pt>
                <c:pt idx="2">
                  <c:v>5.2954097509269465E-2</c:v>
                </c:pt>
                <c:pt idx="3">
                  <c:v>7.1014128755145567E-2</c:v>
                </c:pt>
              </c:numCache>
            </c:numRef>
          </c:val>
          <c:extLst>
            <c:ext xmlns:c16="http://schemas.microsoft.com/office/drawing/2014/chart" uri="{C3380CC4-5D6E-409C-BE32-E72D297353CC}">
              <c16:uniqueId val="{00000001-F422-4889-AC75-FA5031D7879B}"/>
            </c:ext>
          </c:extLst>
        </c:ser>
        <c:ser>
          <c:idx val="2"/>
          <c:order val="2"/>
          <c:tx>
            <c:strRef>
              <c:f>Charts!$D$14</c:f>
              <c:strCache>
                <c:ptCount val="1"/>
                <c:pt idx="0">
                  <c:v>Average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Charts!$A$15:$A$18</c:f>
              <c:strCache>
                <c:ptCount val="4"/>
                <c:pt idx="0">
                  <c:v>Gross margin</c:v>
                </c:pt>
                <c:pt idx="1">
                  <c:v>EBITDA margin</c:v>
                </c:pt>
                <c:pt idx="2">
                  <c:v>EBIT margin</c:v>
                </c:pt>
                <c:pt idx="3">
                  <c:v>Net margin</c:v>
                </c:pt>
              </c:strCache>
            </c:strRef>
          </c:cat>
          <c:val>
            <c:numRef>
              <c:f>Charts!$D$15:$D$18</c:f>
              <c:numCache>
                <c:formatCode>0%</c:formatCode>
                <c:ptCount val="4"/>
                <c:pt idx="0">
                  <c:v>0.39435260812122985</c:v>
                </c:pt>
                <c:pt idx="1">
                  <c:v>0.11211103575766838</c:v>
                </c:pt>
                <c:pt idx="2">
                  <c:v>4.2751726660289806E-2</c:v>
                </c:pt>
                <c:pt idx="3">
                  <c:v>3.3871200743497143E-2</c:v>
                </c:pt>
              </c:numCache>
            </c:numRef>
          </c:val>
          <c:extLst>
            <c:ext xmlns:c16="http://schemas.microsoft.com/office/drawing/2014/chart" uri="{C3380CC4-5D6E-409C-BE32-E72D297353CC}">
              <c16:uniqueId val="{00000002-F422-4889-AC75-FA5031D7879B}"/>
            </c:ext>
          </c:extLst>
        </c:ser>
        <c:dLbls>
          <c:showLegendKey val="0"/>
          <c:showVal val="0"/>
          <c:showCatName val="0"/>
          <c:showSerName val="0"/>
          <c:showPercent val="0"/>
          <c:showBubbleSize val="0"/>
        </c:dLbls>
        <c:gapWidth val="100"/>
        <c:overlap val="-24"/>
        <c:axId val="1285848800"/>
        <c:axId val="1090817039"/>
      </c:barChart>
      <c:catAx>
        <c:axId val="128584880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90817039"/>
        <c:crosses val="autoZero"/>
        <c:auto val="1"/>
        <c:lblAlgn val="ctr"/>
        <c:lblOffset val="100"/>
        <c:noMultiLvlLbl val="0"/>
      </c:catAx>
      <c:valAx>
        <c:axId val="1090817039"/>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285848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IN"/>
              <a:t>Fig 3.1: Solvency</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Charts!$B$20</c:f>
              <c:strCache>
                <c:ptCount val="1"/>
                <c:pt idx="0">
                  <c:v>2022</c:v>
                </c:pt>
              </c:strCache>
            </c:strRef>
          </c:tx>
          <c:spPr>
            <a:solidFill>
              <a:schemeClr val="accent1">
                <a:lumMod val="75000"/>
              </a:schemeClr>
            </a:solidFill>
            <a:ln>
              <a:noFill/>
            </a:ln>
            <a:effectLst>
              <a:outerShdw blurRad="57150" dist="19050" dir="5400000" algn="ctr" rotWithShape="0">
                <a:srgbClr val="000000">
                  <a:alpha val="63000"/>
                </a:srgbClr>
              </a:outerShdw>
            </a:effectLst>
          </c:spPr>
          <c:invertIfNegative val="0"/>
          <c:cat>
            <c:strRef>
              <c:f>Charts!$A$21:$A$22</c:f>
              <c:strCache>
                <c:ptCount val="2"/>
                <c:pt idx="0">
                  <c:v>Debt to equity (D/E)</c:v>
                </c:pt>
                <c:pt idx="1">
                  <c:v>Debt to total assets</c:v>
                </c:pt>
              </c:strCache>
            </c:strRef>
          </c:cat>
          <c:val>
            <c:numRef>
              <c:f>Charts!$B$21:$B$22</c:f>
              <c:numCache>
                <c:formatCode>_(* #,##0.00_);_(* \(#,##0.00\);_(* "-"??_);_(@_)</c:formatCode>
                <c:ptCount val="2"/>
                <c:pt idx="0">
                  <c:v>0.45979608745369516</c:v>
                </c:pt>
                <c:pt idx="1">
                  <c:v>0.14513427351812827</c:v>
                </c:pt>
              </c:numCache>
            </c:numRef>
          </c:val>
          <c:extLst>
            <c:ext xmlns:c16="http://schemas.microsoft.com/office/drawing/2014/chart" uri="{C3380CC4-5D6E-409C-BE32-E72D297353CC}">
              <c16:uniqueId val="{00000000-3ABF-4D5E-B9A2-8CAB0E579DA2}"/>
            </c:ext>
          </c:extLst>
        </c:ser>
        <c:ser>
          <c:idx val="1"/>
          <c:order val="1"/>
          <c:tx>
            <c:strRef>
              <c:f>Charts!$C$20</c:f>
              <c:strCache>
                <c:ptCount val="1"/>
                <c:pt idx="0">
                  <c:v>2021</c:v>
                </c:pt>
              </c:strCache>
            </c:strRef>
          </c:tx>
          <c:spPr>
            <a:solidFill>
              <a:schemeClr val="accent1">
                <a:lumMod val="60000"/>
                <a:lumOff val="40000"/>
              </a:schemeClr>
            </a:solidFill>
            <a:ln>
              <a:noFill/>
            </a:ln>
            <a:effectLst>
              <a:outerShdw blurRad="57150" dist="19050" dir="5400000" algn="ctr" rotWithShape="0">
                <a:srgbClr val="000000">
                  <a:alpha val="63000"/>
                </a:srgbClr>
              </a:outerShdw>
            </a:effectLst>
          </c:spPr>
          <c:invertIfNegative val="0"/>
          <c:cat>
            <c:strRef>
              <c:f>Charts!$A$21:$A$22</c:f>
              <c:strCache>
                <c:ptCount val="2"/>
                <c:pt idx="0">
                  <c:v>Debt to equity (D/E)</c:v>
                </c:pt>
                <c:pt idx="1">
                  <c:v>Debt to total assets</c:v>
                </c:pt>
              </c:strCache>
            </c:strRef>
          </c:cat>
          <c:val>
            <c:numRef>
              <c:f>Charts!$C$21:$C$22</c:f>
              <c:numCache>
                <c:formatCode>_(* #,##0.00_);_(* \(#,##0.00\);_(* "-"??_);_(@_)</c:formatCode>
                <c:ptCount val="2"/>
                <c:pt idx="0">
                  <c:v>0.35259141379435061</c:v>
                </c:pt>
                <c:pt idx="1">
                  <c:v>0.11590563763081116</c:v>
                </c:pt>
              </c:numCache>
            </c:numRef>
          </c:val>
          <c:extLst>
            <c:ext xmlns:c16="http://schemas.microsoft.com/office/drawing/2014/chart" uri="{C3380CC4-5D6E-409C-BE32-E72D297353CC}">
              <c16:uniqueId val="{00000001-3ABF-4D5E-B9A2-8CAB0E579DA2}"/>
            </c:ext>
          </c:extLst>
        </c:ser>
        <c:ser>
          <c:idx val="2"/>
          <c:order val="2"/>
          <c:tx>
            <c:strRef>
              <c:f>Charts!$D$20</c:f>
              <c:strCache>
                <c:ptCount val="1"/>
                <c:pt idx="0">
                  <c:v>Average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Charts!$A$21:$A$22</c:f>
              <c:strCache>
                <c:ptCount val="2"/>
                <c:pt idx="0">
                  <c:v>Debt to equity (D/E)</c:v>
                </c:pt>
                <c:pt idx="1">
                  <c:v>Debt to total assets</c:v>
                </c:pt>
              </c:strCache>
            </c:strRef>
          </c:cat>
          <c:val>
            <c:numRef>
              <c:f>Charts!$D$21:$D$22</c:f>
              <c:numCache>
                <c:formatCode>_(* #,##0.00_);_(* \(#,##0.00\);_(* "-"??_);_(@_)</c:formatCode>
                <c:ptCount val="2"/>
                <c:pt idx="0">
                  <c:v>0.60324874657134142</c:v>
                </c:pt>
                <c:pt idx="1">
                  <c:v>0.14561088523972418</c:v>
                </c:pt>
              </c:numCache>
            </c:numRef>
          </c:val>
          <c:extLst>
            <c:ext xmlns:c16="http://schemas.microsoft.com/office/drawing/2014/chart" uri="{C3380CC4-5D6E-409C-BE32-E72D297353CC}">
              <c16:uniqueId val="{00000003-3ABF-4D5E-B9A2-8CAB0E579DA2}"/>
            </c:ext>
          </c:extLst>
        </c:ser>
        <c:dLbls>
          <c:showLegendKey val="0"/>
          <c:showVal val="0"/>
          <c:showCatName val="0"/>
          <c:showSerName val="0"/>
          <c:showPercent val="0"/>
          <c:showBubbleSize val="0"/>
        </c:dLbls>
        <c:gapWidth val="100"/>
        <c:overlap val="-24"/>
        <c:axId val="1147780687"/>
        <c:axId val="1278026224"/>
      </c:barChart>
      <c:catAx>
        <c:axId val="114778068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278026224"/>
        <c:crosses val="autoZero"/>
        <c:auto val="1"/>
        <c:lblAlgn val="ctr"/>
        <c:lblOffset val="100"/>
        <c:noMultiLvlLbl val="0"/>
      </c:catAx>
      <c:valAx>
        <c:axId val="1278026224"/>
        <c:scaling>
          <c:orientation val="minMax"/>
        </c:scaling>
        <c:delete val="0"/>
        <c:axPos val="l"/>
        <c:majorGridlines>
          <c:spPr>
            <a:ln w="9525" cap="flat" cmpd="sng" algn="ctr">
              <a:solidFill>
                <a:schemeClr val="lt1">
                  <a:lumMod val="95000"/>
                  <a:alpha val="10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47780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IN"/>
              <a:t>Fig 3.2:Interest Coverage ratio</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Charts!$B$23</c:f>
              <c:strCache>
                <c:ptCount val="1"/>
                <c:pt idx="0">
                  <c:v>2022</c:v>
                </c:pt>
              </c:strCache>
            </c:strRef>
          </c:tx>
          <c:spPr>
            <a:solidFill>
              <a:schemeClr val="accent1">
                <a:lumMod val="75000"/>
              </a:schemeClr>
            </a:solidFill>
            <a:ln>
              <a:noFill/>
            </a:ln>
            <a:effectLst>
              <a:outerShdw blurRad="57150" dist="19050" dir="5400000" algn="ctr" rotWithShape="0">
                <a:srgbClr val="000000">
                  <a:alpha val="63000"/>
                </a:srgbClr>
              </a:outerShdw>
            </a:effectLst>
          </c:spPr>
          <c:invertIfNegative val="0"/>
          <c:cat>
            <c:strRef>
              <c:f>Charts!$A$24</c:f>
              <c:strCache>
                <c:ptCount val="1"/>
                <c:pt idx="0">
                  <c:v>Times interest earned</c:v>
                </c:pt>
              </c:strCache>
            </c:strRef>
          </c:cat>
          <c:val>
            <c:numRef>
              <c:f>Charts!$B$24</c:f>
              <c:numCache>
                <c:formatCode>General</c:formatCode>
                <c:ptCount val="1"/>
                <c:pt idx="0">
                  <c:v>5.1744824672581329</c:v>
                </c:pt>
              </c:numCache>
            </c:numRef>
          </c:val>
          <c:extLst>
            <c:ext xmlns:c16="http://schemas.microsoft.com/office/drawing/2014/chart" uri="{C3380CC4-5D6E-409C-BE32-E72D297353CC}">
              <c16:uniqueId val="{00000000-B47E-48B9-AEB1-0FCEE399F082}"/>
            </c:ext>
          </c:extLst>
        </c:ser>
        <c:ser>
          <c:idx val="1"/>
          <c:order val="1"/>
          <c:tx>
            <c:strRef>
              <c:f>Charts!$C$23</c:f>
              <c:strCache>
                <c:ptCount val="1"/>
                <c:pt idx="0">
                  <c:v>2021</c:v>
                </c:pt>
              </c:strCache>
            </c:strRef>
          </c:tx>
          <c:spPr>
            <a:solidFill>
              <a:schemeClr val="accent1">
                <a:lumMod val="60000"/>
                <a:lumOff val="40000"/>
              </a:schemeClr>
            </a:solidFill>
            <a:ln>
              <a:noFill/>
            </a:ln>
            <a:effectLst>
              <a:outerShdw blurRad="57150" dist="19050" dir="5400000" algn="ctr" rotWithShape="0">
                <a:srgbClr val="000000">
                  <a:alpha val="63000"/>
                </a:srgbClr>
              </a:outerShdw>
            </a:effectLst>
          </c:spPr>
          <c:invertIfNegative val="0"/>
          <c:cat>
            <c:strRef>
              <c:f>Charts!$A$24</c:f>
              <c:strCache>
                <c:ptCount val="1"/>
                <c:pt idx="0">
                  <c:v>Times interest earned</c:v>
                </c:pt>
              </c:strCache>
            </c:strRef>
          </c:cat>
          <c:val>
            <c:numRef>
              <c:f>Charts!$C$24</c:f>
              <c:numCache>
                <c:formatCode>_(* #,##0.00_);_(* \(#,##0.00\);_(* "-"??_);_(@_)</c:formatCode>
                <c:ptCount val="1"/>
                <c:pt idx="0">
                  <c:v>13.752902155887231</c:v>
                </c:pt>
              </c:numCache>
            </c:numRef>
          </c:val>
          <c:extLst>
            <c:ext xmlns:c16="http://schemas.microsoft.com/office/drawing/2014/chart" uri="{C3380CC4-5D6E-409C-BE32-E72D297353CC}">
              <c16:uniqueId val="{00000001-B47E-48B9-AEB1-0FCEE399F082}"/>
            </c:ext>
          </c:extLst>
        </c:ser>
        <c:ser>
          <c:idx val="2"/>
          <c:order val="2"/>
          <c:tx>
            <c:strRef>
              <c:f>Charts!$D$23</c:f>
              <c:strCache>
                <c:ptCount val="1"/>
                <c:pt idx="0">
                  <c:v>Average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Charts!$A$24</c:f>
              <c:strCache>
                <c:ptCount val="1"/>
                <c:pt idx="0">
                  <c:v>Times interest earned</c:v>
                </c:pt>
              </c:strCache>
            </c:strRef>
          </c:cat>
          <c:val>
            <c:numRef>
              <c:f>Charts!$D$24</c:f>
              <c:numCache>
                <c:formatCode>_(* #,##0.00_);_(* \(#,##0.00\);_(* "-"??_);_(@_)</c:formatCode>
                <c:ptCount val="1"/>
                <c:pt idx="0">
                  <c:v>7.5652694399320026</c:v>
                </c:pt>
              </c:numCache>
            </c:numRef>
          </c:val>
          <c:extLst>
            <c:ext xmlns:c16="http://schemas.microsoft.com/office/drawing/2014/chart" uri="{C3380CC4-5D6E-409C-BE32-E72D297353CC}">
              <c16:uniqueId val="{00000002-B47E-48B9-AEB1-0FCEE399F082}"/>
            </c:ext>
          </c:extLst>
        </c:ser>
        <c:dLbls>
          <c:showLegendKey val="0"/>
          <c:showVal val="0"/>
          <c:showCatName val="0"/>
          <c:showSerName val="0"/>
          <c:showPercent val="0"/>
          <c:showBubbleSize val="0"/>
        </c:dLbls>
        <c:gapWidth val="100"/>
        <c:overlap val="-24"/>
        <c:axId val="1148332495"/>
        <c:axId val="1093652591"/>
      </c:barChart>
      <c:catAx>
        <c:axId val="1148332495"/>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93652591"/>
        <c:crosses val="autoZero"/>
        <c:auto val="1"/>
        <c:lblAlgn val="ctr"/>
        <c:lblOffset val="100"/>
        <c:noMultiLvlLbl val="0"/>
      </c:catAx>
      <c:valAx>
        <c:axId val="1093652591"/>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4833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IN" sz="1100"/>
              <a:t>Fig 4 Turnover</a:t>
            </a:r>
            <a:r>
              <a:rPr lang="en-IN" sz="1100" baseline="0"/>
              <a:t> ratios</a:t>
            </a:r>
            <a:endParaRPr lang="en-IN" sz="11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Charts!$B$26</c:f>
              <c:strCache>
                <c:ptCount val="1"/>
                <c:pt idx="0">
                  <c:v>2022</c:v>
                </c:pt>
              </c:strCache>
            </c:strRef>
          </c:tx>
          <c:spPr>
            <a:solidFill>
              <a:schemeClr val="accent1">
                <a:lumMod val="75000"/>
              </a:schemeClr>
            </a:solidFill>
            <a:ln>
              <a:noFill/>
            </a:ln>
            <a:effectLst>
              <a:outerShdw blurRad="57150" dist="19050" dir="5400000" algn="ctr" rotWithShape="0">
                <a:srgbClr val="000000">
                  <a:alpha val="63000"/>
                </a:srgbClr>
              </a:outerShdw>
            </a:effectLst>
          </c:spPr>
          <c:invertIfNegative val="0"/>
          <c:cat>
            <c:strRef>
              <c:f>Charts!$A$27:$A$28</c:f>
              <c:strCache>
                <c:ptCount val="2"/>
                <c:pt idx="0">
                  <c:v>Total asset turnover</c:v>
                </c:pt>
                <c:pt idx="1">
                  <c:v>Inventory turnover</c:v>
                </c:pt>
              </c:strCache>
            </c:strRef>
          </c:cat>
          <c:val>
            <c:numRef>
              <c:f>Charts!$B$27:$B$28</c:f>
              <c:numCache>
                <c:formatCode>_(* #,##0.00_);_(* \(#,##0.00\);_(* "-"??_);_(@_)</c:formatCode>
                <c:ptCount val="2"/>
                <c:pt idx="0">
                  <c:v>1.1638791518346421</c:v>
                </c:pt>
                <c:pt idx="1">
                  <c:v>8.6160340070102173</c:v>
                </c:pt>
              </c:numCache>
            </c:numRef>
          </c:val>
          <c:extLst>
            <c:ext xmlns:c16="http://schemas.microsoft.com/office/drawing/2014/chart" uri="{C3380CC4-5D6E-409C-BE32-E72D297353CC}">
              <c16:uniqueId val="{00000000-4DAE-4E35-98D4-C44B54B38332}"/>
            </c:ext>
          </c:extLst>
        </c:ser>
        <c:ser>
          <c:idx val="1"/>
          <c:order val="1"/>
          <c:tx>
            <c:strRef>
              <c:f>Charts!$C$26</c:f>
              <c:strCache>
                <c:ptCount val="1"/>
                <c:pt idx="0">
                  <c:v>2021</c:v>
                </c:pt>
              </c:strCache>
            </c:strRef>
          </c:tx>
          <c:spPr>
            <a:solidFill>
              <a:schemeClr val="accent1">
                <a:lumMod val="60000"/>
                <a:lumOff val="40000"/>
              </a:schemeClr>
            </a:solidFill>
            <a:ln>
              <a:noFill/>
            </a:ln>
            <a:effectLst>
              <a:outerShdw blurRad="57150" dist="19050" dir="5400000" algn="ctr" rotWithShape="0">
                <a:srgbClr val="000000">
                  <a:alpha val="63000"/>
                </a:srgbClr>
              </a:outerShdw>
            </a:effectLst>
          </c:spPr>
          <c:invertIfNegative val="0"/>
          <c:cat>
            <c:strRef>
              <c:f>Charts!$A$27:$A$28</c:f>
              <c:strCache>
                <c:ptCount val="2"/>
                <c:pt idx="0">
                  <c:v>Total asset turnover</c:v>
                </c:pt>
                <c:pt idx="1">
                  <c:v>Inventory turnover</c:v>
                </c:pt>
              </c:strCache>
            </c:strRef>
          </c:cat>
          <c:val>
            <c:numRef>
              <c:f>Charts!$C$27:$C$28</c:f>
              <c:numCache>
                <c:formatCode>_(* #,##0.00_);_(* \(#,##0.00\);_(* "-"??_);_(@_)</c:formatCode>
                <c:ptCount val="2"/>
                <c:pt idx="0">
                  <c:v>1.2668036411484285</c:v>
                </c:pt>
                <c:pt idx="1">
                  <c:v>9.6515991849029863</c:v>
                </c:pt>
              </c:numCache>
            </c:numRef>
          </c:val>
          <c:extLst>
            <c:ext xmlns:c16="http://schemas.microsoft.com/office/drawing/2014/chart" uri="{C3380CC4-5D6E-409C-BE32-E72D297353CC}">
              <c16:uniqueId val="{00000001-4DAE-4E35-98D4-C44B54B38332}"/>
            </c:ext>
          </c:extLst>
        </c:ser>
        <c:ser>
          <c:idx val="2"/>
          <c:order val="2"/>
          <c:tx>
            <c:strRef>
              <c:f>Charts!$D$26</c:f>
              <c:strCache>
                <c:ptCount val="1"/>
                <c:pt idx="0">
                  <c:v>Average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Charts!$A$27:$A$28</c:f>
              <c:strCache>
                <c:ptCount val="2"/>
                <c:pt idx="0">
                  <c:v>Total asset turnover</c:v>
                </c:pt>
                <c:pt idx="1">
                  <c:v>Inventory turnover</c:v>
                </c:pt>
              </c:strCache>
            </c:strRef>
          </c:cat>
          <c:val>
            <c:numRef>
              <c:f>Charts!$D$27:$D$28</c:f>
              <c:numCache>
                <c:formatCode>_(* #,##0.00_);_(* \(#,##0.00\);_(* "-"??_);_(@_)</c:formatCode>
                <c:ptCount val="2"/>
                <c:pt idx="0">
                  <c:v>1.5625519357019115</c:v>
                </c:pt>
                <c:pt idx="1">
                  <c:v>8.4347968622331209</c:v>
                </c:pt>
              </c:numCache>
            </c:numRef>
          </c:val>
          <c:extLst>
            <c:ext xmlns:c16="http://schemas.microsoft.com/office/drawing/2014/chart" uri="{C3380CC4-5D6E-409C-BE32-E72D297353CC}">
              <c16:uniqueId val="{00000002-4DAE-4E35-98D4-C44B54B38332}"/>
            </c:ext>
          </c:extLst>
        </c:ser>
        <c:dLbls>
          <c:showLegendKey val="0"/>
          <c:showVal val="0"/>
          <c:showCatName val="0"/>
          <c:showSerName val="0"/>
          <c:showPercent val="0"/>
          <c:showBubbleSize val="0"/>
        </c:dLbls>
        <c:gapWidth val="150"/>
        <c:axId val="1284135296"/>
        <c:axId val="1275766752"/>
      </c:barChart>
      <c:catAx>
        <c:axId val="128413529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275766752"/>
        <c:crosses val="autoZero"/>
        <c:auto val="1"/>
        <c:lblAlgn val="ctr"/>
        <c:lblOffset val="100"/>
        <c:noMultiLvlLbl val="0"/>
      </c:catAx>
      <c:valAx>
        <c:axId val="1275766752"/>
        <c:scaling>
          <c:orientation val="minMax"/>
        </c:scaling>
        <c:delete val="0"/>
        <c:axPos val="l"/>
        <c:majorGridlines>
          <c:spPr>
            <a:ln w="9525" cap="flat" cmpd="sng" algn="ctr">
              <a:solidFill>
                <a:schemeClr val="lt1">
                  <a:lumMod val="95000"/>
                  <a:alpha val="10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2841352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IN" sz="1100"/>
              <a:t>Fig 4.1:Investor</a:t>
            </a:r>
            <a:r>
              <a:rPr lang="en-IN" sz="1100" baseline="0"/>
              <a:t> ratios</a:t>
            </a:r>
            <a:endParaRPr lang="en-IN" sz="11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Charts!$B$31</c:f>
              <c:strCache>
                <c:ptCount val="1"/>
                <c:pt idx="0">
                  <c:v>2022</c:v>
                </c:pt>
              </c:strCache>
            </c:strRef>
          </c:tx>
          <c:spPr>
            <a:solidFill>
              <a:schemeClr val="accent1">
                <a:lumMod val="75000"/>
              </a:schemeClr>
            </a:solidFill>
            <a:ln>
              <a:noFill/>
            </a:ln>
            <a:effectLst>
              <a:outerShdw blurRad="57150" dist="19050" dir="5400000" algn="ctr" rotWithShape="0">
                <a:srgbClr val="000000">
                  <a:alpha val="63000"/>
                </a:srgbClr>
              </a:outerShdw>
            </a:effectLst>
          </c:spPr>
          <c:invertIfNegative val="0"/>
          <c:cat>
            <c:strRef>
              <c:f>Charts!$A$32:$A$34</c:f>
              <c:strCache>
                <c:ptCount val="3"/>
                <c:pt idx="0">
                  <c:v>ROE</c:v>
                </c:pt>
                <c:pt idx="1">
                  <c:v>ROCE</c:v>
                </c:pt>
                <c:pt idx="2">
                  <c:v>ROA</c:v>
                </c:pt>
              </c:strCache>
            </c:strRef>
          </c:cat>
          <c:val>
            <c:numRef>
              <c:f>Charts!$B$32:$B$34</c:f>
              <c:numCache>
                <c:formatCode>0%</c:formatCode>
                <c:ptCount val="3"/>
                <c:pt idx="0">
                  <c:v>-1.8638346240490815E-2</c:v>
                </c:pt>
                <c:pt idx="1">
                  <c:v>-1.2767773801203605E-2</c:v>
                </c:pt>
                <c:pt idx="2">
                  <c:v>-5.8831793375479545E-3</c:v>
                </c:pt>
              </c:numCache>
            </c:numRef>
          </c:val>
          <c:extLst>
            <c:ext xmlns:c16="http://schemas.microsoft.com/office/drawing/2014/chart" uri="{C3380CC4-5D6E-409C-BE32-E72D297353CC}">
              <c16:uniqueId val="{00000000-FF1C-45F7-A774-0E83EA9875C4}"/>
            </c:ext>
          </c:extLst>
        </c:ser>
        <c:ser>
          <c:idx val="1"/>
          <c:order val="1"/>
          <c:tx>
            <c:strRef>
              <c:f>Charts!$C$31</c:f>
              <c:strCache>
                <c:ptCount val="1"/>
                <c:pt idx="0">
                  <c:v>2021</c:v>
                </c:pt>
              </c:strCache>
            </c:strRef>
          </c:tx>
          <c:spPr>
            <a:solidFill>
              <a:schemeClr val="accent1">
                <a:lumMod val="60000"/>
                <a:lumOff val="40000"/>
              </a:schemeClr>
            </a:solidFill>
            <a:ln>
              <a:noFill/>
            </a:ln>
            <a:effectLst>
              <a:outerShdw blurRad="57150" dist="19050" dir="5400000" algn="ctr" rotWithShape="0">
                <a:srgbClr val="000000">
                  <a:alpha val="63000"/>
                </a:srgbClr>
              </a:outerShdw>
            </a:effectLst>
          </c:spPr>
          <c:invertIfNegative val="0"/>
          <c:cat>
            <c:strRef>
              <c:f>Charts!$A$32:$A$34</c:f>
              <c:strCache>
                <c:ptCount val="3"/>
                <c:pt idx="0">
                  <c:v>ROE</c:v>
                </c:pt>
                <c:pt idx="1">
                  <c:v>ROCE</c:v>
                </c:pt>
                <c:pt idx="2">
                  <c:v>ROA</c:v>
                </c:pt>
              </c:strCache>
            </c:strRef>
          </c:cat>
          <c:val>
            <c:numRef>
              <c:f>Charts!$C$32:$C$34</c:f>
              <c:numCache>
                <c:formatCode>0%</c:formatCode>
                <c:ptCount val="3"/>
                <c:pt idx="0">
                  <c:v>0.2413396506202756</c:v>
                </c:pt>
                <c:pt idx="1">
                  <c:v>0.17842760804111471</c:v>
                </c:pt>
                <c:pt idx="2">
                  <c:v>7.9334393851846041E-2</c:v>
                </c:pt>
              </c:numCache>
            </c:numRef>
          </c:val>
          <c:extLst>
            <c:ext xmlns:c16="http://schemas.microsoft.com/office/drawing/2014/chart" uri="{C3380CC4-5D6E-409C-BE32-E72D297353CC}">
              <c16:uniqueId val="{00000001-FF1C-45F7-A774-0E83EA9875C4}"/>
            </c:ext>
          </c:extLst>
        </c:ser>
        <c:ser>
          <c:idx val="2"/>
          <c:order val="2"/>
          <c:tx>
            <c:strRef>
              <c:f>Charts!$D$31</c:f>
              <c:strCache>
                <c:ptCount val="1"/>
                <c:pt idx="0">
                  <c:v>Average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Charts!$A$32:$A$34</c:f>
              <c:strCache>
                <c:ptCount val="3"/>
                <c:pt idx="0">
                  <c:v>ROE</c:v>
                </c:pt>
                <c:pt idx="1">
                  <c:v>ROCE</c:v>
                </c:pt>
                <c:pt idx="2">
                  <c:v>ROA</c:v>
                </c:pt>
              </c:strCache>
            </c:strRef>
          </c:cat>
          <c:val>
            <c:numRef>
              <c:f>Charts!$D$32:$D$34</c:f>
              <c:numCache>
                <c:formatCode>0%</c:formatCode>
                <c:ptCount val="3"/>
                <c:pt idx="0">
                  <c:v>0.17582807255900831</c:v>
                </c:pt>
                <c:pt idx="1">
                  <c:v>0.11454743423825485</c:v>
                </c:pt>
                <c:pt idx="2">
                  <c:v>4.5491605787781941E-2</c:v>
                </c:pt>
              </c:numCache>
            </c:numRef>
          </c:val>
          <c:extLst>
            <c:ext xmlns:c16="http://schemas.microsoft.com/office/drawing/2014/chart" uri="{C3380CC4-5D6E-409C-BE32-E72D297353CC}">
              <c16:uniqueId val="{00000002-FF1C-45F7-A774-0E83EA9875C4}"/>
            </c:ext>
          </c:extLst>
        </c:ser>
        <c:dLbls>
          <c:showLegendKey val="0"/>
          <c:showVal val="0"/>
          <c:showCatName val="0"/>
          <c:showSerName val="0"/>
          <c:showPercent val="0"/>
          <c:showBubbleSize val="0"/>
        </c:dLbls>
        <c:gapWidth val="150"/>
        <c:axId val="1276355408"/>
        <c:axId val="1112459856"/>
      </c:barChart>
      <c:catAx>
        <c:axId val="127635540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12459856"/>
        <c:crosses val="autoZero"/>
        <c:auto val="1"/>
        <c:lblAlgn val="ctr"/>
        <c:lblOffset val="100"/>
        <c:noMultiLvlLbl val="0"/>
      </c:catAx>
      <c:valAx>
        <c:axId val="1112459856"/>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2763554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IN" sz="1100"/>
              <a:t>Fig 4.2:</a:t>
            </a:r>
            <a:r>
              <a:rPr lang="en-IN" sz="1100" baseline="0"/>
              <a:t> </a:t>
            </a:r>
            <a:r>
              <a:rPr lang="en-IN" sz="1100"/>
              <a:t>Earnings</a:t>
            </a:r>
            <a:r>
              <a:rPr lang="en-IN" sz="1100" baseline="0"/>
              <a:t> per share</a:t>
            </a:r>
            <a:endParaRPr lang="en-IN" sz="11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Charts!$B$35</c:f>
              <c:strCache>
                <c:ptCount val="1"/>
                <c:pt idx="0">
                  <c:v>2022</c:v>
                </c:pt>
              </c:strCache>
            </c:strRef>
          </c:tx>
          <c:spPr>
            <a:solidFill>
              <a:schemeClr val="accent1">
                <a:lumMod val="75000"/>
              </a:schemeClr>
            </a:solidFill>
            <a:ln>
              <a:noFill/>
            </a:ln>
            <a:effectLst>
              <a:outerShdw blurRad="57150" dist="19050" dir="5400000" algn="ctr" rotWithShape="0">
                <a:srgbClr val="000000">
                  <a:alpha val="63000"/>
                </a:srgbClr>
              </a:outerShdw>
            </a:effectLst>
          </c:spPr>
          <c:invertIfNegative val="0"/>
          <c:cat>
            <c:strRef>
              <c:f>Charts!$A$36</c:f>
              <c:strCache>
                <c:ptCount val="1"/>
                <c:pt idx="0">
                  <c:v>Earnings per share (EPS)</c:v>
                </c:pt>
              </c:strCache>
            </c:strRef>
          </c:cat>
          <c:val>
            <c:numRef>
              <c:f>Charts!$B$36</c:f>
              <c:numCache>
                <c:formatCode>_(* #,##0.00_);_(* \(#,##0.00\);_(* "-"??_);_(@_)</c:formatCode>
                <c:ptCount val="1"/>
                <c:pt idx="0">
                  <c:v>-0.27</c:v>
                </c:pt>
              </c:numCache>
            </c:numRef>
          </c:val>
          <c:extLst>
            <c:ext xmlns:c16="http://schemas.microsoft.com/office/drawing/2014/chart" uri="{C3380CC4-5D6E-409C-BE32-E72D297353CC}">
              <c16:uniqueId val="{00000000-3ED0-4C24-8FF6-E2D5F6FF2174}"/>
            </c:ext>
          </c:extLst>
        </c:ser>
        <c:ser>
          <c:idx val="1"/>
          <c:order val="1"/>
          <c:tx>
            <c:strRef>
              <c:f>Charts!$C$35</c:f>
              <c:strCache>
                <c:ptCount val="1"/>
                <c:pt idx="0">
                  <c:v>2021</c:v>
                </c:pt>
              </c:strCache>
            </c:strRef>
          </c:tx>
          <c:spPr>
            <a:solidFill>
              <a:schemeClr val="accent1">
                <a:lumMod val="60000"/>
                <a:lumOff val="40000"/>
              </a:schemeClr>
            </a:solidFill>
            <a:ln>
              <a:noFill/>
            </a:ln>
            <a:effectLst>
              <a:outerShdw blurRad="57150" dist="19050" dir="5400000" algn="ctr" rotWithShape="0">
                <a:srgbClr val="000000">
                  <a:alpha val="63000"/>
                </a:srgbClr>
              </a:outerShdw>
            </a:effectLst>
          </c:spPr>
          <c:invertIfNegative val="0"/>
          <c:cat>
            <c:strRef>
              <c:f>Charts!$A$36</c:f>
              <c:strCache>
                <c:ptCount val="1"/>
                <c:pt idx="0">
                  <c:v>Earnings per share (EPS)</c:v>
                </c:pt>
              </c:strCache>
            </c:strRef>
          </c:cat>
          <c:val>
            <c:numRef>
              <c:f>Charts!$C$36</c:f>
              <c:numCache>
                <c:formatCode>_(* #,##0.00_);_(* \(#,##0.00\);_(* "-"??_);_(@_)</c:formatCode>
                <c:ptCount val="1"/>
                <c:pt idx="0">
                  <c:v>3.2404999999999999</c:v>
                </c:pt>
              </c:numCache>
            </c:numRef>
          </c:val>
          <c:extLst>
            <c:ext xmlns:c16="http://schemas.microsoft.com/office/drawing/2014/chart" uri="{C3380CC4-5D6E-409C-BE32-E72D297353CC}">
              <c16:uniqueId val="{00000001-3ED0-4C24-8FF6-E2D5F6FF2174}"/>
            </c:ext>
          </c:extLst>
        </c:ser>
        <c:ser>
          <c:idx val="2"/>
          <c:order val="2"/>
          <c:tx>
            <c:strRef>
              <c:f>Charts!$D$35</c:f>
              <c:strCache>
                <c:ptCount val="1"/>
                <c:pt idx="0">
                  <c:v>Average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Charts!$A$36</c:f>
              <c:strCache>
                <c:ptCount val="1"/>
                <c:pt idx="0">
                  <c:v>Earnings per share (EPS)</c:v>
                </c:pt>
              </c:strCache>
            </c:strRef>
          </c:cat>
          <c:val>
            <c:numRef>
              <c:f>Charts!$D$36</c:f>
              <c:numCache>
                <c:formatCode>_(* #,##0.00_);_(* \(#,##0.00\);_(* "-"??_);_(@_)</c:formatCode>
                <c:ptCount val="1"/>
                <c:pt idx="0">
                  <c:v>0.82166666666666677</c:v>
                </c:pt>
              </c:numCache>
            </c:numRef>
          </c:val>
          <c:extLst>
            <c:ext xmlns:c16="http://schemas.microsoft.com/office/drawing/2014/chart" uri="{C3380CC4-5D6E-409C-BE32-E72D297353CC}">
              <c16:uniqueId val="{00000002-3ED0-4C24-8FF6-E2D5F6FF2174}"/>
            </c:ext>
          </c:extLst>
        </c:ser>
        <c:dLbls>
          <c:showLegendKey val="0"/>
          <c:showVal val="0"/>
          <c:showCatName val="0"/>
          <c:showSerName val="0"/>
          <c:showPercent val="0"/>
          <c:showBubbleSize val="0"/>
        </c:dLbls>
        <c:gapWidth val="150"/>
        <c:axId val="1276559600"/>
        <c:axId val="1090816543"/>
      </c:barChart>
      <c:catAx>
        <c:axId val="127655960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90816543"/>
        <c:crosses val="autoZero"/>
        <c:auto val="1"/>
        <c:lblAlgn val="ctr"/>
        <c:lblOffset val="100"/>
        <c:noMultiLvlLbl val="0"/>
      </c:catAx>
      <c:valAx>
        <c:axId val="1090816543"/>
        <c:scaling>
          <c:orientation val="minMax"/>
        </c:scaling>
        <c:delete val="0"/>
        <c:axPos val="l"/>
        <c:majorGridlines>
          <c:spPr>
            <a:ln w="9525" cap="flat" cmpd="sng" algn="ctr">
              <a:solidFill>
                <a:schemeClr val="lt1">
                  <a:lumMod val="95000"/>
                  <a:alpha val="10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2765596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301752</xdr:colOff>
      <xdr:row>3</xdr:row>
      <xdr:rowOff>76200</xdr:rowOff>
    </xdr:from>
    <xdr:to>
      <xdr:col>12</xdr:col>
      <xdr:colOff>606552</xdr:colOff>
      <xdr:row>18</xdr:row>
      <xdr:rowOff>76200</xdr:rowOff>
    </xdr:to>
    <xdr:graphicFrame macro="">
      <xdr:nvGraphicFramePr>
        <xdr:cNvPr id="9" name="Chart 8">
          <a:extLst>
            <a:ext uri="{FF2B5EF4-FFF2-40B4-BE49-F238E27FC236}">
              <a16:creationId xmlns:a16="http://schemas.microsoft.com/office/drawing/2014/main" id="{11B9A62E-A55D-57B8-3805-EE72E2640C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204216</xdr:colOff>
      <xdr:row>19</xdr:row>
      <xdr:rowOff>76200</xdr:rowOff>
    </xdr:from>
    <xdr:to>
      <xdr:col>13</xdr:col>
      <xdr:colOff>509016</xdr:colOff>
      <xdr:row>33</xdr:row>
      <xdr:rowOff>76200</xdr:rowOff>
    </xdr:to>
    <xdr:graphicFrame macro="">
      <xdr:nvGraphicFramePr>
        <xdr:cNvPr id="10" name="Chart 9">
          <a:extLst>
            <a:ext uri="{FF2B5EF4-FFF2-40B4-BE49-F238E27FC236}">
              <a16:creationId xmlns:a16="http://schemas.microsoft.com/office/drawing/2014/main" id="{95FDC873-8578-A73D-493D-F570A7FC07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161544</xdr:colOff>
      <xdr:row>20</xdr:row>
      <xdr:rowOff>9144</xdr:rowOff>
    </xdr:from>
    <xdr:to>
      <xdr:col>13</xdr:col>
      <xdr:colOff>466344</xdr:colOff>
      <xdr:row>34</xdr:row>
      <xdr:rowOff>9144</xdr:rowOff>
    </xdr:to>
    <xdr:graphicFrame macro="">
      <xdr:nvGraphicFramePr>
        <xdr:cNvPr id="11" name="Chart 10">
          <a:extLst>
            <a:ext uri="{FF2B5EF4-FFF2-40B4-BE49-F238E27FC236}">
              <a16:creationId xmlns:a16="http://schemas.microsoft.com/office/drawing/2014/main" id="{EB85819B-6D9A-C07A-1981-A1554D15AC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332232</xdr:colOff>
      <xdr:row>18</xdr:row>
      <xdr:rowOff>100584</xdr:rowOff>
    </xdr:from>
    <xdr:to>
      <xdr:col>16</xdr:col>
      <xdr:colOff>27432</xdr:colOff>
      <xdr:row>33</xdr:row>
      <xdr:rowOff>100584</xdr:rowOff>
    </xdr:to>
    <xdr:graphicFrame macro="">
      <xdr:nvGraphicFramePr>
        <xdr:cNvPr id="12" name="Chart 11">
          <a:extLst>
            <a:ext uri="{FF2B5EF4-FFF2-40B4-BE49-F238E27FC236}">
              <a16:creationId xmlns:a16="http://schemas.microsoft.com/office/drawing/2014/main" id="{B6FF9B7C-F684-4FB5-C7AB-2D18087821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259080</xdr:colOff>
      <xdr:row>17</xdr:row>
      <xdr:rowOff>106680</xdr:rowOff>
    </xdr:from>
    <xdr:to>
      <xdr:col>12</xdr:col>
      <xdr:colOff>563880</xdr:colOff>
      <xdr:row>32</xdr:row>
      <xdr:rowOff>106680</xdr:rowOff>
    </xdr:to>
    <xdr:graphicFrame macro="">
      <xdr:nvGraphicFramePr>
        <xdr:cNvPr id="15" name="Chart 14">
          <a:extLst>
            <a:ext uri="{FF2B5EF4-FFF2-40B4-BE49-F238E27FC236}">
              <a16:creationId xmlns:a16="http://schemas.microsoft.com/office/drawing/2014/main" id="{F81705BD-46CB-F149-A1CC-C136962D97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441960</xdr:colOff>
      <xdr:row>23</xdr:row>
      <xdr:rowOff>76200</xdr:rowOff>
    </xdr:from>
    <xdr:to>
      <xdr:col>11</xdr:col>
      <xdr:colOff>137160</xdr:colOff>
      <xdr:row>38</xdr:row>
      <xdr:rowOff>76200</xdr:rowOff>
    </xdr:to>
    <xdr:graphicFrame macro="">
      <xdr:nvGraphicFramePr>
        <xdr:cNvPr id="17" name="Chart 16">
          <a:extLst>
            <a:ext uri="{FF2B5EF4-FFF2-40B4-BE49-F238E27FC236}">
              <a16:creationId xmlns:a16="http://schemas.microsoft.com/office/drawing/2014/main" id="{B12A2E60-1F0B-6840-A408-6206F79F0F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r.aboutamazon.com/annual-reports-proxies-and-shareholder-letter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zoomScale="134" workbookViewId="0">
      <selection activeCell="A5" sqref="A5"/>
    </sheetView>
  </sheetViews>
  <sheetFormatPr defaultRowHeight="14.4" x14ac:dyDescent="0.3"/>
  <cols>
    <col min="1" max="1" width="157.88671875" style="2" customWidth="1"/>
  </cols>
  <sheetData>
    <row r="1" spans="1:1" ht="23.4" x14ac:dyDescent="0.45">
      <c r="A1" s="3" t="s">
        <v>0</v>
      </c>
    </row>
    <row r="3" spans="1:1" x14ac:dyDescent="0.3">
      <c r="A3" s="2" t="s">
        <v>60</v>
      </c>
    </row>
    <row r="4" spans="1:1" x14ac:dyDescent="0.3">
      <c r="A4" s="5" t="s">
        <v>5</v>
      </c>
    </row>
    <row r="5" spans="1:1" x14ac:dyDescent="0.3">
      <c r="A5" s="6" t="s">
        <v>1</v>
      </c>
    </row>
    <row r="7" spans="1:1" x14ac:dyDescent="0.3">
      <c r="A7" s="2" t="s">
        <v>58</v>
      </c>
    </row>
    <row r="8" spans="1:1" x14ac:dyDescent="0.3">
      <c r="A8" s="2" t="s">
        <v>59</v>
      </c>
    </row>
    <row r="9" spans="1:1" ht="28.8" x14ac:dyDescent="0.3">
      <c r="A9" s="2" t="s">
        <v>2</v>
      </c>
    </row>
    <row r="10" spans="1:1" x14ac:dyDescent="0.3">
      <c r="A10" s="2" t="s">
        <v>6</v>
      </c>
    </row>
    <row r="11" spans="1:1" x14ac:dyDescent="0.3">
      <c r="A11" s="2" t="s">
        <v>4</v>
      </c>
    </row>
    <row r="13" spans="1:1" x14ac:dyDescent="0.3">
      <c r="A13" s="4" t="s">
        <v>3</v>
      </c>
    </row>
    <row r="14" spans="1:1" x14ac:dyDescent="0.3">
      <c r="A14" s="2" t="s">
        <v>7</v>
      </c>
    </row>
    <row r="15" spans="1:1" x14ac:dyDescent="0.3">
      <c r="A15" s="2" t="s">
        <v>8</v>
      </c>
    </row>
  </sheetData>
  <hyperlinks>
    <hyperlink ref="A5"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25"/>
  <sheetViews>
    <sheetView zoomScale="136" workbookViewId="0">
      <selection activeCell="C17" sqref="C17"/>
    </sheetView>
  </sheetViews>
  <sheetFormatPr defaultRowHeight="14.4" x14ac:dyDescent="0.3"/>
  <cols>
    <col min="1" max="1" width="59" customWidth="1"/>
    <col min="2" max="4" width="9.109375" bestFit="1" customWidth="1"/>
    <col min="5" max="6" width="11.5546875" bestFit="1" customWidth="1"/>
    <col min="7" max="7" width="11.6640625" bestFit="1" customWidth="1"/>
  </cols>
  <sheetData>
    <row r="1" spans="1:13" ht="60" customHeight="1" x14ac:dyDescent="0.3">
      <c r="A1" s="7" t="s">
        <v>73</v>
      </c>
      <c r="B1" s="8" t="s">
        <v>74</v>
      </c>
      <c r="C1" s="7"/>
      <c r="D1" s="7"/>
      <c r="E1" s="8" t="s">
        <v>74</v>
      </c>
      <c r="F1" s="8"/>
      <c r="G1" s="8"/>
      <c r="H1" s="8"/>
      <c r="I1" s="8"/>
      <c r="J1" s="8"/>
      <c r="K1" s="8"/>
      <c r="L1" s="8"/>
      <c r="M1" s="8"/>
    </row>
    <row r="2" spans="1:13" x14ac:dyDescent="0.3">
      <c r="A2" s="38" t="s">
        <v>9</v>
      </c>
      <c r="B2" s="38"/>
      <c r="C2" s="38"/>
      <c r="D2" s="38"/>
      <c r="E2" s="38"/>
      <c r="F2" s="38"/>
      <c r="G2" s="38"/>
    </row>
    <row r="3" spans="1:13" x14ac:dyDescent="0.3">
      <c r="B3" s="37" t="s">
        <v>55</v>
      </c>
      <c r="C3" s="37"/>
      <c r="D3" s="37"/>
      <c r="E3" s="37"/>
      <c r="F3" s="37"/>
      <c r="G3" s="37"/>
      <c r="H3" s="37"/>
    </row>
    <row r="4" spans="1:13" x14ac:dyDescent="0.3">
      <c r="B4" s="9">
        <v>2022</v>
      </c>
      <c r="C4" s="9">
        <v>2021</v>
      </c>
      <c r="D4" s="9">
        <v>2020</v>
      </c>
      <c r="E4" s="9">
        <v>2019</v>
      </c>
      <c r="F4" s="9">
        <v>2018</v>
      </c>
      <c r="G4" s="9">
        <v>2017</v>
      </c>
      <c r="H4" s="9">
        <v>2016</v>
      </c>
    </row>
    <row r="6" spans="1:13" x14ac:dyDescent="0.3">
      <c r="A6" s="1" t="s">
        <v>61</v>
      </c>
      <c r="B6" s="10">
        <v>242901</v>
      </c>
      <c r="C6" s="10">
        <v>241787</v>
      </c>
      <c r="D6" s="10">
        <v>215915</v>
      </c>
      <c r="E6" s="10">
        <v>160408</v>
      </c>
      <c r="F6" s="10">
        <v>141915</v>
      </c>
      <c r="G6" s="10">
        <v>118573</v>
      </c>
      <c r="H6">
        <v>94665</v>
      </c>
    </row>
    <row r="7" spans="1:13" x14ac:dyDescent="0.3">
      <c r="A7" s="1" t="s">
        <v>62</v>
      </c>
      <c r="B7" s="10">
        <v>271082</v>
      </c>
      <c r="C7" s="10">
        <v>228035</v>
      </c>
      <c r="D7" s="10">
        <v>170149</v>
      </c>
      <c r="E7" s="10">
        <v>120114</v>
      </c>
      <c r="F7" s="10">
        <v>90972</v>
      </c>
      <c r="G7" s="10">
        <v>59293</v>
      </c>
      <c r="H7">
        <v>41322</v>
      </c>
    </row>
    <row r="8" spans="1:13" x14ac:dyDescent="0.3">
      <c r="A8" s="11" t="s">
        <v>63</v>
      </c>
      <c r="B8" s="12">
        <f>SUM(B6:B7)</f>
        <v>513983</v>
      </c>
      <c r="C8" s="12">
        <f>SUM(C6:C7)</f>
        <v>469822</v>
      </c>
      <c r="D8" s="12">
        <f>SUM(D6:D7)</f>
        <v>386064</v>
      </c>
      <c r="E8" s="12">
        <f>SUM(E6:E7)</f>
        <v>280522</v>
      </c>
      <c r="F8" s="12">
        <f t="shared" ref="F8:H8" si="0">SUM(F6:F7)</f>
        <v>232887</v>
      </c>
      <c r="G8" s="12">
        <f t="shared" si="0"/>
        <v>177866</v>
      </c>
      <c r="H8" s="12">
        <f t="shared" si="0"/>
        <v>135987</v>
      </c>
    </row>
    <row r="9" spans="1:13" x14ac:dyDescent="0.3">
      <c r="A9" t="s">
        <v>64</v>
      </c>
      <c r="E9" s="10"/>
      <c r="F9" s="10"/>
      <c r="G9" s="10"/>
    </row>
    <row r="10" spans="1:13" x14ac:dyDescent="0.3">
      <c r="A10" s="1" t="s">
        <v>65</v>
      </c>
      <c r="B10" s="10">
        <v>288831</v>
      </c>
      <c r="C10" s="10">
        <v>272344</v>
      </c>
      <c r="D10" s="10">
        <v>233307</v>
      </c>
      <c r="E10" s="10">
        <v>165536</v>
      </c>
      <c r="F10" s="10">
        <v>139156</v>
      </c>
      <c r="G10" s="10">
        <v>111934</v>
      </c>
      <c r="H10">
        <v>88265</v>
      </c>
    </row>
    <row r="11" spans="1:13" x14ac:dyDescent="0.3">
      <c r="A11" s="1" t="s">
        <v>66</v>
      </c>
      <c r="B11" s="10">
        <v>84299</v>
      </c>
      <c r="C11" s="10">
        <v>75111</v>
      </c>
      <c r="D11" s="10">
        <v>58517</v>
      </c>
      <c r="E11" s="10">
        <v>40232</v>
      </c>
      <c r="F11" s="10">
        <v>34027</v>
      </c>
      <c r="G11" s="10">
        <v>25249</v>
      </c>
      <c r="H11">
        <v>17619</v>
      </c>
    </row>
    <row r="12" spans="1:13" x14ac:dyDescent="0.3">
      <c r="A12" s="1" t="s">
        <v>67</v>
      </c>
      <c r="B12" s="10">
        <v>73213</v>
      </c>
      <c r="C12" s="10">
        <v>56052</v>
      </c>
      <c r="D12" s="10">
        <v>42740</v>
      </c>
      <c r="E12" s="10">
        <v>35931</v>
      </c>
      <c r="F12" s="10">
        <v>28837</v>
      </c>
      <c r="G12" s="10">
        <v>22620</v>
      </c>
      <c r="H12">
        <v>7233</v>
      </c>
    </row>
    <row r="13" spans="1:13" x14ac:dyDescent="0.3">
      <c r="A13" s="1" t="s">
        <v>68</v>
      </c>
      <c r="B13" s="10">
        <v>42238</v>
      </c>
      <c r="C13" s="10">
        <v>32551</v>
      </c>
      <c r="D13" s="10">
        <v>22008</v>
      </c>
      <c r="E13" s="10">
        <v>18878</v>
      </c>
      <c r="F13" s="10">
        <v>13814</v>
      </c>
      <c r="G13" s="10">
        <v>10069</v>
      </c>
      <c r="H13">
        <v>16085</v>
      </c>
    </row>
    <row r="14" spans="1:13" x14ac:dyDescent="0.3">
      <c r="A14" s="1" t="s">
        <v>69</v>
      </c>
      <c r="B14" s="10">
        <v>11891</v>
      </c>
      <c r="C14" s="10">
        <v>8823</v>
      </c>
      <c r="D14" s="10">
        <v>6668</v>
      </c>
      <c r="E14" s="10">
        <v>5203</v>
      </c>
      <c r="F14" s="10">
        <v>4336</v>
      </c>
      <c r="G14" s="10">
        <v>3674</v>
      </c>
      <c r="H14">
        <v>2432</v>
      </c>
    </row>
    <row r="15" spans="1:13" x14ac:dyDescent="0.3">
      <c r="A15" s="1" t="s">
        <v>70</v>
      </c>
      <c r="B15" s="10">
        <v>1263</v>
      </c>
      <c r="C15" s="10">
        <v>62</v>
      </c>
      <c r="D15" s="10">
        <v>-75</v>
      </c>
      <c r="E15" s="10">
        <v>201</v>
      </c>
      <c r="F15" s="10">
        <v>296</v>
      </c>
      <c r="G15" s="10">
        <v>214</v>
      </c>
      <c r="H15">
        <v>167</v>
      </c>
    </row>
    <row r="16" spans="1:13" x14ac:dyDescent="0.3">
      <c r="A16" s="11" t="s">
        <v>71</v>
      </c>
      <c r="B16" s="12">
        <f t="shared" ref="B16:C16" si="1">SUM(B10:B15)</f>
        <v>501735</v>
      </c>
      <c r="C16" s="12">
        <f t="shared" si="1"/>
        <v>444943</v>
      </c>
      <c r="D16" s="12">
        <f>SUM(D10:D15)</f>
        <v>363165</v>
      </c>
      <c r="E16" s="12">
        <f>SUM(E10:E15)</f>
        <v>265981</v>
      </c>
      <c r="F16" s="12">
        <f t="shared" ref="F16:H16" si="2">SUM(F10:F15)</f>
        <v>220466</v>
      </c>
      <c r="G16" s="12">
        <f t="shared" si="2"/>
        <v>173760</v>
      </c>
      <c r="H16" s="12">
        <f t="shared" si="2"/>
        <v>131801</v>
      </c>
    </row>
    <row r="17" spans="1:8" x14ac:dyDescent="0.3">
      <c r="A17" s="11" t="s">
        <v>72</v>
      </c>
      <c r="B17" s="12">
        <f t="shared" ref="B17:C17" si="3">B8-B16</f>
        <v>12248</v>
      </c>
      <c r="C17" s="12">
        <f t="shared" si="3"/>
        <v>24879</v>
      </c>
      <c r="D17" s="12">
        <f>D8-D16</f>
        <v>22899</v>
      </c>
      <c r="E17" s="12">
        <f>E8-E16</f>
        <v>14541</v>
      </c>
      <c r="F17" s="12">
        <f t="shared" ref="F17:H17" si="4">F8-F16</f>
        <v>12421</v>
      </c>
      <c r="G17" s="12">
        <f t="shared" si="4"/>
        <v>4106</v>
      </c>
      <c r="H17" s="12">
        <f t="shared" si="4"/>
        <v>4186</v>
      </c>
    </row>
    <row r="18" spans="1:8" x14ac:dyDescent="0.3">
      <c r="A18" s="1" t="s">
        <v>75</v>
      </c>
      <c r="B18" s="10">
        <v>989</v>
      </c>
      <c r="C18" s="10">
        <v>448</v>
      </c>
      <c r="D18" s="20">
        <v>555</v>
      </c>
      <c r="E18" s="20">
        <v>832</v>
      </c>
      <c r="F18" s="20">
        <v>440</v>
      </c>
      <c r="G18" s="20">
        <v>202</v>
      </c>
      <c r="H18">
        <v>100</v>
      </c>
    </row>
    <row r="19" spans="1:8" x14ac:dyDescent="0.3">
      <c r="A19" s="1" t="s">
        <v>76</v>
      </c>
      <c r="B19" s="10">
        <v>-2367</v>
      </c>
      <c r="C19" s="10">
        <v>-1809</v>
      </c>
      <c r="D19" s="20">
        <v>-1647</v>
      </c>
      <c r="E19" s="20">
        <v>-1600</v>
      </c>
      <c r="F19" s="20">
        <v>-1417</v>
      </c>
      <c r="G19" s="20">
        <v>-848</v>
      </c>
      <c r="H19">
        <v>-484</v>
      </c>
    </row>
    <row r="20" spans="1:8" x14ac:dyDescent="0.3">
      <c r="A20" s="1" t="s">
        <v>77</v>
      </c>
      <c r="B20" s="10">
        <v>-16806</v>
      </c>
      <c r="C20" s="10">
        <v>14633</v>
      </c>
      <c r="D20" s="20">
        <v>2371</v>
      </c>
      <c r="E20" s="21">
        <v>203</v>
      </c>
      <c r="F20" s="21">
        <v>-183</v>
      </c>
      <c r="G20" s="21">
        <v>346</v>
      </c>
      <c r="H20">
        <v>90</v>
      </c>
    </row>
    <row r="21" spans="1:8" x14ac:dyDescent="0.3">
      <c r="A21" s="11" t="s">
        <v>78</v>
      </c>
      <c r="B21" s="12">
        <f>SUM(B18:B20)</f>
        <v>-18184</v>
      </c>
      <c r="C21" s="12">
        <f>SUM(C18:C20)</f>
        <v>13272</v>
      </c>
      <c r="D21" s="12">
        <f>SUM(D18:D20)</f>
        <v>1279</v>
      </c>
      <c r="E21" s="12">
        <f>SUM(E18:E20)</f>
        <v>-565</v>
      </c>
      <c r="F21" s="12">
        <f t="shared" ref="F21:H21" si="5">SUM(F18:F20)</f>
        <v>-1160</v>
      </c>
      <c r="G21" s="12">
        <f t="shared" si="5"/>
        <v>-300</v>
      </c>
      <c r="H21" s="12">
        <f t="shared" si="5"/>
        <v>-294</v>
      </c>
    </row>
    <row r="22" spans="1:8" s="11" customFormat="1" x14ac:dyDescent="0.3">
      <c r="A22" s="11" t="s">
        <v>79</v>
      </c>
      <c r="B22" s="12">
        <f t="shared" ref="B22:C22" si="6">B17+B21</f>
        <v>-5936</v>
      </c>
      <c r="C22" s="12">
        <f t="shared" si="6"/>
        <v>38151</v>
      </c>
      <c r="D22" s="12">
        <f>D17+D21</f>
        <v>24178</v>
      </c>
      <c r="E22" s="12">
        <f>E17+E21</f>
        <v>13976</v>
      </c>
      <c r="F22" s="12">
        <f t="shared" ref="F22:H22" si="7">F17+F21</f>
        <v>11261</v>
      </c>
      <c r="G22" s="12">
        <f t="shared" si="7"/>
        <v>3806</v>
      </c>
      <c r="H22" s="12">
        <f t="shared" si="7"/>
        <v>3892</v>
      </c>
    </row>
    <row r="23" spans="1:8" x14ac:dyDescent="0.3">
      <c r="A23" t="s">
        <v>80</v>
      </c>
      <c r="B23" s="10">
        <v>3217</v>
      </c>
      <c r="C23" s="10">
        <v>-4791</v>
      </c>
      <c r="D23" s="10">
        <v>-2863</v>
      </c>
      <c r="E23" s="10">
        <v>-2374</v>
      </c>
      <c r="F23" s="10">
        <v>-1197</v>
      </c>
      <c r="G23" s="10">
        <v>-769</v>
      </c>
      <c r="H23">
        <v>-1425</v>
      </c>
    </row>
    <row r="24" spans="1:8" x14ac:dyDescent="0.3">
      <c r="A24" t="s">
        <v>81</v>
      </c>
      <c r="B24" s="10">
        <v>-3</v>
      </c>
      <c r="C24" s="10">
        <v>4</v>
      </c>
      <c r="D24" s="10">
        <v>16</v>
      </c>
      <c r="E24" s="10">
        <v>-14</v>
      </c>
      <c r="F24" s="10">
        <v>9</v>
      </c>
      <c r="G24" s="10">
        <v>-4</v>
      </c>
      <c r="H24">
        <v>-96</v>
      </c>
    </row>
    <row r="25" spans="1:8" ht="15" thickBot="1" x14ac:dyDescent="0.35">
      <c r="A25" s="13" t="s">
        <v>82</v>
      </c>
      <c r="B25" s="14">
        <f t="shared" ref="B25:C25" si="8">B22+B23+B24</f>
        <v>-2722</v>
      </c>
      <c r="C25" s="14">
        <f t="shared" si="8"/>
        <v>33364</v>
      </c>
      <c r="D25" s="14">
        <f>D22+D23+D24</f>
        <v>21331</v>
      </c>
      <c r="E25" s="14">
        <f>E22+E23+E24</f>
        <v>11588</v>
      </c>
      <c r="F25" s="14">
        <f t="shared" ref="F25:H25" si="9">F22+F23+F24</f>
        <v>10073</v>
      </c>
      <c r="G25" s="14">
        <f t="shared" si="9"/>
        <v>3033</v>
      </c>
      <c r="H25" s="14">
        <f t="shared" si="9"/>
        <v>2371</v>
      </c>
    </row>
    <row r="26" spans="1:8" ht="15" thickTop="1" x14ac:dyDescent="0.3"/>
    <row r="27" spans="1:8" x14ac:dyDescent="0.3">
      <c r="A27" s="1" t="s">
        <v>83</v>
      </c>
      <c r="B27" s="15">
        <v>-0.27</v>
      </c>
      <c r="C27" s="15">
        <v>65.959999999999994</v>
      </c>
      <c r="D27" s="15">
        <v>42.64</v>
      </c>
      <c r="E27" s="15">
        <v>23.46</v>
      </c>
      <c r="F27" s="15">
        <v>20.68</v>
      </c>
      <c r="G27" s="15">
        <v>6.32</v>
      </c>
      <c r="H27" s="15">
        <v>5.01</v>
      </c>
    </row>
    <row r="28" spans="1:8" x14ac:dyDescent="0.3">
      <c r="A28" s="1" t="s">
        <v>84</v>
      </c>
      <c r="B28" s="15">
        <v>-0.27</v>
      </c>
      <c r="C28" s="15">
        <v>64.81</v>
      </c>
      <c r="D28" s="15">
        <v>41.83</v>
      </c>
      <c r="E28" s="15">
        <v>23.01</v>
      </c>
      <c r="F28" s="15">
        <v>20.14</v>
      </c>
      <c r="G28" s="15">
        <v>6.15</v>
      </c>
      <c r="H28" s="15">
        <v>4.9000000000000004</v>
      </c>
    </row>
    <row r="29" spans="1:8" x14ac:dyDescent="0.3">
      <c r="B29" s="29"/>
      <c r="C29" s="29"/>
      <c r="D29" s="29"/>
      <c r="E29" s="29"/>
      <c r="F29" s="29"/>
      <c r="G29" s="29"/>
      <c r="H29" s="29"/>
    </row>
    <row r="30" spans="1:8" x14ac:dyDescent="0.3">
      <c r="A30" s="1" t="s">
        <v>87</v>
      </c>
      <c r="B30" s="1"/>
      <c r="C30" s="1"/>
      <c r="D30" s="1"/>
      <c r="E30" s="16"/>
      <c r="F30" s="16"/>
      <c r="G30" s="16"/>
    </row>
    <row r="31" spans="1:8" x14ac:dyDescent="0.3">
      <c r="A31" t="s">
        <v>85</v>
      </c>
      <c r="B31">
        <v>10189</v>
      </c>
      <c r="C31">
        <v>506</v>
      </c>
      <c r="D31">
        <v>500</v>
      </c>
      <c r="E31">
        <v>494</v>
      </c>
      <c r="F31">
        <v>487</v>
      </c>
      <c r="G31">
        <v>480</v>
      </c>
      <c r="H31">
        <v>474</v>
      </c>
    </row>
    <row r="32" spans="1:8" x14ac:dyDescent="0.3">
      <c r="A32" t="s">
        <v>86</v>
      </c>
      <c r="B32">
        <v>10189</v>
      </c>
      <c r="C32">
        <v>515</v>
      </c>
      <c r="D32">
        <v>510</v>
      </c>
      <c r="E32">
        <v>504</v>
      </c>
      <c r="F32">
        <v>500</v>
      </c>
      <c r="G32">
        <v>493</v>
      </c>
      <c r="H32">
        <v>484</v>
      </c>
    </row>
    <row r="34" spans="1:8" x14ac:dyDescent="0.3">
      <c r="A34" s="38" t="s">
        <v>11</v>
      </c>
      <c r="B34" s="38"/>
      <c r="C34" s="38"/>
      <c r="D34" s="38"/>
      <c r="E34" s="38"/>
      <c r="F34" s="38"/>
      <c r="G34" s="38"/>
    </row>
    <row r="35" spans="1:8" x14ac:dyDescent="0.3">
      <c r="E35" s="37" t="s">
        <v>56</v>
      </c>
      <c r="F35" s="37"/>
      <c r="G35" s="37"/>
    </row>
    <row r="36" spans="1:8" x14ac:dyDescent="0.3">
      <c r="B36" s="9">
        <v>2022</v>
      </c>
      <c r="C36" s="9">
        <v>2021</v>
      </c>
      <c r="D36" s="9">
        <v>2020</v>
      </c>
      <c r="E36" s="9">
        <v>2019</v>
      </c>
      <c r="F36" s="9">
        <v>2018</v>
      </c>
      <c r="G36" s="9">
        <v>2017</v>
      </c>
      <c r="H36" s="9">
        <v>2016</v>
      </c>
    </row>
    <row r="37" spans="1:8" x14ac:dyDescent="0.3">
      <c r="A37" t="s">
        <v>88</v>
      </c>
    </row>
    <row r="38" spans="1:8" x14ac:dyDescent="0.3">
      <c r="A38" t="s">
        <v>89</v>
      </c>
    </row>
    <row r="39" spans="1:8" x14ac:dyDescent="0.3">
      <c r="A39" s="1" t="s">
        <v>90</v>
      </c>
      <c r="B39" s="10">
        <v>53888</v>
      </c>
      <c r="C39" s="10">
        <v>36220</v>
      </c>
      <c r="D39" s="10">
        <v>42122</v>
      </c>
      <c r="E39" s="10">
        <v>36092</v>
      </c>
      <c r="F39" s="10">
        <v>31750</v>
      </c>
      <c r="G39" s="10">
        <v>20522</v>
      </c>
      <c r="H39">
        <v>19334</v>
      </c>
    </row>
    <row r="40" spans="1:8" x14ac:dyDescent="0.3">
      <c r="A40" s="1" t="s">
        <v>91</v>
      </c>
      <c r="B40" s="10">
        <v>16138</v>
      </c>
      <c r="C40" s="10">
        <v>59829</v>
      </c>
      <c r="D40" s="10">
        <v>42274</v>
      </c>
      <c r="E40" s="10">
        <v>18929</v>
      </c>
      <c r="F40" s="10">
        <v>9500</v>
      </c>
      <c r="G40" s="10">
        <v>10464</v>
      </c>
      <c r="H40">
        <v>6647</v>
      </c>
    </row>
    <row r="41" spans="1:8" x14ac:dyDescent="0.3">
      <c r="A41" s="1" t="s">
        <v>92</v>
      </c>
      <c r="B41" s="10">
        <v>34405</v>
      </c>
      <c r="C41" s="10">
        <v>32640</v>
      </c>
      <c r="D41" s="10">
        <v>23795</v>
      </c>
      <c r="E41" s="10">
        <v>20497</v>
      </c>
      <c r="F41" s="10">
        <v>17174</v>
      </c>
      <c r="G41" s="10">
        <v>16047</v>
      </c>
      <c r="H41">
        <v>11461</v>
      </c>
    </row>
    <row r="42" spans="1:8" x14ac:dyDescent="0.3">
      <c r="A42" s="1" t="s">
        <v>93</v>
      </c>
      <c r="B42" s="10">
        <v>42360</v>
      </c>
      <c r="C42" s="10">
        <v>32891</v>
      </c>
      <c r="D42" s="10">
        <v>24542</v>
      </c>
      <c r="E42" s="10">
        <v>20816</v>
      </c>
      <c r="F42" s="10">
        <v>16677</v>
      </c>
      <c r="G42" s="10">
        <v>13164</v>
      </c>
      <c r="H42">
        <v>8339</v>
      </c>
    </row>
    <row r="43" spans="1:8" x14ac:dyDescent="0.3">
      <c r="A43" s="11" t="s">
        <v>94</v>
      </c>
      <c r="B43" s="12">
        <f t="shared" ref="B43:C43" si="10">SUM(B39:B42)</f>
        <v>146791</v>
      </c>
      <c r="C43" s="12">
        <f t="shared" si="10"/>
        <v>161580</v>
      </c>
      <c r="D43" s="12">
        <f>SUM(D39:D42)</f>
        <v>132733</v>
      </c>
      <c r="E43" s="12">
        <f>SUM(E39:E42)</f>
        <v>96334</v>
      </c>
      <c r="F43" s="12">
        <f t="shared" ref="F43:H43" si="11">SUM(F39:F42)</f>
        <v>75101</v>
      </c>
      <c r="G43" s="12">
        <f t="shared" si="11"/>
        <v>60197</v>
      </c>
      <c r="H43" s="12">
        <f t="shared" si="11"/>
        <v>45781</v>
      </c>
    </row>
    <row r="44" spans="1:8" x14ac:dyDescent="0.3">
      <c r="E44" s="10"/>
      <c r="F44" s="10"/>
      <c r="G44" s="10"/>
    </row>
    <row r="45" spans="1:8" x14ac:dyDescent="0.3">
      <c r="A45" s="1" t="s">
        <v>155</v>
      </c>
      <c r="B45" s="1"/>
      <c r="C45" s="1"/>
      <c r="D45" s="1"/>
      <c r="E45" s="10"/>
      <c r="F45" s="10"/>
      <c r="G45" s="10"/>
    </row>
    <row r="46" spans="1:8" x14ac:dyDescent="0.3">
      <c r="A46" s="1" t="s">
        <v>95</v>
      </c>
      <c r="B46" s="10">
        <v>186715</v>
      </c>
      <c r="C46" s="10">
        <v>160281</v>
      </c>
      <c r="D46" s="10">
        <v>113114</v>
      </c>
      <c r="E46" s="10">
        <v>72705</v>
      </c>
      <c r="F46" s="10">
        <v>61797</v>
      </c>
      <c r="G46" s="10">
        <v>48866</v>
      </c>
      <c r="H46">
        <v>29114</v>
      </c>
    </row>
    <row r="47" spans="1:8" x14ac:dyDescent="0.3">
      <c r="A47" s="1" t="s">
        <v>96</v>
      </c>
      <c r="B47" s="10">
        <v>66123</v>
      </c>
      <c r="C47" s="10">
        <v>56082</v>
      </c>
      <c r="D47" s="10">
        <v>37553</v>
      </c>
      <c r="E47" s="10">
        <v>25141</v>
      </c>
      <c r="F47" s="10">
        <v>0</v>
      </c>
      <c r="G47" s="10">
        <v>0</v>
      </c>
      <c r="H47" s="10">
        <v>0</v>
      </c>
    </row>
    <row r="48" spans="1:8" x14ac:dyDescent="0.3">
      <c r="A48" s="1" t="s">
        <v>97</v>
      </c>
      <c r="B48" s="10">
        <v>20288</v>
      </c>
      <c r="C48" s="10">
        <v>15371</v>
      </c>
      <c r="D48" s="10">
        <v>15017</v>
      </c>
      <c r="E48" s="10">
        <v>14754</v>
      </c>
      <c r="F48" s="10">
        <v>14548</v>
      </c>
      <c r="G48" s="10">
        <v>13350</v>
      </c>
      <c r="H48">
        <v>3784</v>
      </c>
    </row>
    <row r="49" spans="1:8" x14ac:dyDescent="0.3">
      <c r="A49" s="1" t="s">
        <v>98</v>
      </c>
      <c r="B49" s="10">
        <v>42758</v>
      </c>
      <c r="C49" s="10">
        <v>27235</v>
      </c>
      <c r="D49" s="10">
        <v>22778</v>
      </c>
      <c r="E49" s="10">
        <v>16314</v>
      </c>
      <c r="F49" s="10">
        <v>11202</v>
      </c>
      <c r="G49" s="10">
        <v>8897</v>
      </c>
      <c r="H49">
        <v>4723</v>
      </c>
    </row>
    <row r="50" spans="1:8" x14ac:dyDescent="0.3">
      <c r="A50" s="11" t="s">
        <v>99</v>
      </c>
      <c r="B50" s="12">
        <f>SUM(B46:B49)</f>
        <v>315884</v>
      </c>
      <c r="C50" s="12">
        <f>SUM(C46:C49)</f>
        <v>258969</v>
      </c>
      <c r="D50" s="12">
        <f>SUM(D46:D49)</f>
        <v>188462</v>
      </c>
      <c r="E50" s="12">
        <f>SUM(E46:E49)</f>
        <v>128914</v>
      </c>
      <c r="F50" s="12">
        <f t="shared" ref="F50:H50" si="12">SUM(F46:F49)</f>
        <v>87547</v>
      </c>
      <c r="G50" s="12">
        <f t="shared" si="12"/>
        <v>71113</v>
      </c>
      <c r="H50" s="12">
        <f t="shared" si="12"/>
        <v>37621</v>
      </c>
    </row>
    <row r="51" spans="1:8" ht="15" thickBot="1" x14ac:dyDescent="0.35">
      <c r="A51" s="13" t="s">
        <v>100</v>
      </c>
      <c r="B51" s="14">
        <f t="shared" ref="B51:H51" si="13">B43+B50</f>
        <v>462675</v>
      </c>
      <c r="C51" s="14">
        <f t="shared" si="13"/>
        <v>420549</v>
      </c>
      <c r="D51" s="14">
        <f t="shared" si="13"/>
        <v>321195</v>
      </c>
      <c r="E51" s="14">
        <f t="shared" si="13"/>
        <v>225248</v>
      </c>
      <c r="F51" s="14">
        <f t="shared" si="13"/>
        <v>162648</v>
      </c>
      <c r="G51" s="14">
        <f t="shared" si="13"/>
        <v>131310</v>
      </c>
      <c r="H51" s="14">
        <f t="shared" si="13"/>
        <v>83402</v>
      </c>
    </row>
    <row r="52" spans="1:8" ht="15" thickTop="1" x14ac:dyDescent="0.3"/>
    <row r="53" spans="1:8" x14ac:dyDescent="0.3">
      <c r="A53" t="s">
        <v>101</v>
      </c>
    </row>
    <row r="54" spans="1:8" x14ac:dyDescent="0.3">
      <c r="A54" s="22" t="s">
        <v>102</v>
      </c>
      <c r="B54" s="22"/>
      <c r="C54" s="22"/>
      <c r="D54" s="22"/>
      <c r="E54" s="10"/>
      <c r="F54" s="10"/>
      <c r="G54" s="10"/>
    </row>
    <row r="55" spans="1:8" x14ac:dyDescent="0.3">
      <c r="A55" s="1" t="s">
        <v>103</v>
      </c>
      <c r="B55" s="10">
        <v>79600</v>
      </c>
      <c r="C55" s="10">
        <v>78664</v>
      </c>
      <c r="D55" s="10">
        <v>72539</v>
      </c>
      <c r="E55" s="10">
        <v>47183</v>
      </c>
      <c r="F55" s="10">
        <v>38192</v>
      </c>
      <c r="G55" s="10">
        <v>34616</v>
      </c>
      <c r="H55">
        <v>25309</v>
      </c>
    </row>
    <row r="56" spans="1:8" x14ac:dyDescent="0.3">
      <c r="A56" s="1" t="s">
        <v>104</v>
      </c>
      <c r="B56" s="10">
        <v>62566</v>
      </c>
      <c r="C56" s="10">
        <v>51775</v>
      </c>
      <c r="D56" s="10">
        <v>44138</v>
      </c>
      <c r="E56" s="10">
        <v>32439</v>
      </c>
      <c r="F56" s="10">
        <v>23663</v>
      </c>
      <c r="G56" s="10">
        <v>18170</v>
      </c>
      <c r="H56">
        <v>13739</v>
      </c>
    </row>
    <row r="57" spans="1:8" x14ac:dyDescent="0.3">
      <c r="A57" s="1" t="s">
        <v>105</v>
      </c>
      <c r="B57" s="10">
        <v>13227</v>
      </c>
      <c r="C57" s="10">
        <v>11827</v>
      </c>
      <c r="D57" s="10">
        <v>9708</v>
      </c>
      <c r="E57" s="10">
        <v>8190</v>
      </c>
      <c r="F57" s="10">
        <v>6536</v>
      </c>
      <c r="G57" s="10">
        <v>5097</v>
      </c>
      <c r="H57">
        <v>4768</v>
      </c>
    </row>
    <row r="58" spans="1:8" x14ac:dyDescent="0.3">
      <c r="A58" s="11" t="s">
        <v>106</v>
      </c>
      <c r="B58" s="12">
        <f t="shared" ref="B58:C58" si="14">SUM(B55:B57)</f>
        <v>155393</v>
      </c>
      <c r="C58" s="12">
        <f t="shared" si="14"/>
        <v>142266</v>
      </c>
      <c r="D58" s="12">
        <f>SUM(D55:D57)</f>
        <v>126385</v>
      </c>
      <c r="E58" s="12">
        <f>SUM(E55:E57)</f>
        <v>87812</v>
      </c>
      <c r="F58" s="12">
        <f t="shared" ref="F58:H58" si="15">SUM(F55:F57)</f>
        <v>68391</v>
      </c>
      <c r="G58" s="12">
        <f t="shared" si="15"/>
        <v>57883</v>
      </c>
      <c r="H58" s="12">
        <f t="shared" si="15"/>
        <v>43816</v>
      </c>
    </row>
    <row r="59" spans="1:8" x14ac:dyDescent="0.3">
      <c r="E59" s="10"/>
      <c r="F59" s="10"/>
      <c r="G59" s="10"/>
    </row>
    <row r="60" spans="1:8" x14ac:dyDescent="0.3">
      <c r="A60" s="1" t="s">
        <v>107</v>
      </c>
      <c r="B60" s="10">
        <v>72968</v>
      </c>
      <c r="C60" s="10">
        <v>67651</v>
      </c>
      <c r="D60" s="10">
        <v>52573</v>
      </c>
      <c r="E60" s="10">
        <v>39791</v>
      </c>
      <c r="F60" s="10">
        <v>9650</v>
      </c>
      <c r="G60" s="10">
        <v>0</v>
      </c>
    </row>
    <row r="61" spans="1:8" x14ac:dyDescent="0.3">
      <c r="A61" s="1" t="s">
        <v>108</v>
      </c>
      <c r="B61" s="10">
        <v>67150</v>
      </c>
      <c r="C61" s="10">
        <v>48744</v>
      </c>
      <c r="D61" s="10">
        <v>31816</v>
      </c>
      <c r="E61" s="10">
        <v>23414</v>
      </c>
      <c r="F61" s="10">
        <v>23495</v>
      </c>
      <c r="G61" s="10">
        <v>24743</v>
      </c>
      <c r="H61">
        <v>7694</v>
      </c>
    </row>
    <row r="62" spans="1:8" x14ac:dyDescent="0.3">
      <c r="A62" s="1" t="s">
        <v>109</v>
      </c>
      <c r="B62" s="10">
        <v>21121</v>
      </c>
      <c r="C62" s="10">
        <v>23643</v>
      </c>
      <c r="D62" s="10">
        <v>17017</v>
      </c>
      <c r="E62" s="10">
        <v>12171</v>
      </c>
      <c r="F62" s="10">
        <v>17563</v>
      </c>
      <c r="G62" s="10">
        <v>20975</v>
      </c>
      <c r="H62">
        <v>12607</v>
      </c>
    </row>
    <row r="63" spans="1:8" x14ac:dyDescent="0.3">
      <c r="A63" s="11" t="s">
        <v>110</v>
      </c>
      <c r="B63" s="12">
        <f>SUM(B60:B62)</f>
        <v>161239</v>
      </c>
      <c r="C63" s="12">
        <f>SUM(C60:C62)</f>
        <v>140038</v>
      </c>
      <c r="D63" s="12">
        <f>SUM(D60:D62)</f>
        <v>101406</v>
      </c>
      <c r="E63" s="12">
        <f>SUM(E60:E62)</f>
        <v>75376</v>
      </c>
      <c r="F63" s="12">
        <f t="shared" ref="F63:H63" si="16">SUM(F60:F62)</f>
        <v>50708</v>
      </c>
      <c r="G63" s="12">
        <f t="shared" si="16"/>
        <v>45718</v>
      </c>
      <c r="H63" s="12">
        <f t="shared" si="16"/>
        <v>20301</v>
      </c>
    </row>
    <row r="64" spans="1:8" x14ac:dyDescent="0.3">
      <c r="E64" s="10"/>
      <c r="F64" s="10"/>
      <c r="G64" s="10"/>
    </row>
    <row r="65" spans="1:8" x14ac:dyDescent="0.3">
      <c r="A65" s="22" t="s">
        <v>111</v>
      </c>
      <c r="B65" s="22"/>
      <c r="C65" s="22"/>
      <c r="D65" s="22"/>
      <c r="E65" s="10"/>
      <c r="F65" s="10"/>
      <c r="G65" s="10"/>
    </row>
    <row r="66" spans="1:8" x14ac:dyDescent="0.3">
      <c r="A66" s="1" t="s">
        <v>116</v>
      </c>
      <c r="B66" s="10">
        <v>0</v>
      </c>
      <c r="C66" s="10">
        <v>0</v>
      </c>
      <c r="D66" s="10">
        <v>0</v>
      </c>
      <c r="E66" s="10">
        <v>0</v>
      </c>
      <c r="F66" s="10">
        <v>0</v>
      </c>
      <c r="G66" s="10">
        <v>0</v>
      </c>
      <c r="H66" s="10">
        <v>0</v>
      </c>
    </row>
    <row r="67" spans="1:8" x14ac:dyDescent="0.3">
      <c r="A67" s="1" t="s">
        <v>117</v>
      </c>
      <c r="B67" s="10">
        <v>108</v>
      </c>
      <c r="C67" s="10">
        <v>5</v>
      </c>
      <c r="D67" s="10">
        <v>5</v>
      </c>
      <c r="E67" s="10">
        <v>5</v>
      </c>
      <c r="F67" s="10">
        <v>5</v>
      </c>
      <c r="G67" s="10">
        <v>5</v>
      </c>
      <c r="H67">
        <v>5</v>
      </c>
    </row>
    <row r="68" spans="1:8" x14ac:dyDescent="0.3">
      <c r="A68" s="1" t="s">
        <v>112</v>
      </c>
      <c r="B68" s="10">
        <v>-7837</v>
      </c>
      <c r="C68" s="10">
        <v>-1837</v>
      </c>
      <c r="D68" s="10">
        <v>-1837</v>
      </c>
      <c r="E68" s="10">
        <v>-1837</v>
      </c>
      <c r="F68" s="10">
        <v>-1837</v>
      </c>
      <c r="G68" s="10">
        <v>-1837</v>
      </c>
      <c r="H68">
        <v>-1837</v>
      </c>
    </row>
    <row r="69" spans="1:8" x14ac:dyDescent="0.3">
      <c r="A69" s="1" t="s">
        <v>113</v>
      </c>
      <c r="B69" s="10">
        <v>75066</v>
      </c>
      <c r="C69" s="10">
        <v>55538</v>
      </c>
      <c r="D69" s="10">
        <v>42865</v>
      </c>
      <c r="E69" s="10">
        <v>33658</v>
      </c>
      <c r="F69" s="10">
        <v>26791</v>
      </c>
      <c r="G69" s="10">
        <v>21389</v>
      </c>
      <c r="H69">
        <v>17186</v>
      </c>
    </row>
    <row r="70" spans="1:8" x14ac:dyDescent="0.3">
      <c r="A70" s="1" t="s">
        <v>114</v>
      </c>
      <c r="B70" s="10">
        <v>-4487</v>
      </c>
      <c r="C70" s="10">
        <v>-1376</v>
      </c>
      <c r="D70" s="10">
        <v>-180</v>
      </c>
      <c r="E70" s="10">
        <v>-986</v>
      </c>
      <c r="F70" s="10">
        <v>-1035</v>
      </c>
      <c r="G70" s="10">
        <v>-484</v>
      </c>
      <c r="H70">
        <v>-985</v>
      </c>
    </row>
    <row r="71" spans="1:8" x14ac:dyDescent="0.3">
      <c r="A71" s="1" t="s">
        <v>115</v>
      </c>
      <c r="B71" s="10">
        <v>83193</v>
      </c>
      <c r="C71" s="10">
        <v>85915</v>
      </c>
      <c r="D71" s="10">
        <v>52551</v>
      </c>
      <c r="E71" s="10">
        <v>31220</v>
      </c>
      <c r="F71" s="10">
        <v>19625</v>
      </c>
      <c r="G71" s="10">
        <v>8636</v>
      </c>
      <c r="H71">
        <v>4916</v>
      </c>
    </row>
    <row r="72" spans="1:8" x14ac:dyDescent="0.3">
      <c r="A72" s="11" t="s">
        <v>118</v>
      </c>
      <c r="B72" s="12">
        <f t="shared" ref="B72" si="17">SUM(B66:B71)</f>
        <v>146043</v>
      </c>
      <c r="C72" s="12">
        <f t="shared" ref="C72:H72" si="18">SUM(C66:C71)</f>
        <v>138245</v>
      </c>
      <c r="D72" s="12">
        <f t="shared" si="18"/>
        <v>93404</v>
      </c>
      <c r="E72" s="12">
        <f t="shared" si="18"/>
        <v>62060</v>
      </c>
      <c r="F72" s="12">
        <f t="shared" si="18"/>
        <v>43549</v>
      </c>
      <c r="G72" s="12">
        <f t="shared" si="18"/>
        <v>27709</v>
      </c>
      <c r="H72" s="12">
        <f t="shared" si="18"/>
        <v>19285</v>
      </c>
    </row>
    <row r="73" spans="1:8" ht="15" thickBot="1" x14ac:dyDescent="0.35">
      <c r="A73" s="13" t="s">
        <v>119</v>
      </c>
      <c r="B73" s="14">
        <f t="shared" ref="B73:H73" si="19">B63+B72+B58</f>
        <v>462675</v>
      </c>
      <c r="C73" s="14">
        <f t="shared" si="19"/>
        <v>420549</v>
      </c>
      <c r="D73" s="14">
        <f t="shared" si="19"/>
        <v>321195</v>
      </c>
      <c r="E73" s="14">
        <f t="shared" si="19"/>
        <v>225248</v>
      </c>
      <c r="F73" s="14">
        <f t="shared" si="19"/>
        <v>162648</v>
      </c>
      <c r="G73" s="14">
        <f t="shared" si="19"/>
        <v>131310</v>
      </c>
      <c r="H73" s="14">
        <f t="shared" si="19"/>
        <v>83402</v>
      </c>
    </row>
    <row r="74" spans="1:8" ht="15" thickTop="1" x14ac:dyDescent="0.3">
      <c r="A74" s="9"/>
      <c r="B74" s="24"/>
      <c r="C74" s="24"/>
      <c r="D74" s="24"/>
      <c r="E74" s="24"/>
      <c r="F74" s="24"/>
      <c r="G74" s="24"/>
      <c r="H74" s="24"/>
    </row>
    <row r="75" spans="1:8" x14ac:dyDescent="0.3">
      <c r="A75" t="s">
        <v>159</v>
      </c>
      <c r="B75" s="24"/>
      <c r="C75" s="24"/>
      <c r="D75" s="24"/>
      <c r="E75" s="24"/>
      <c r="F75" s="24"/>
      <c r="G75" s="24"/>
      <c r="H75" s="24"/>
    </row>
    <row r="77" spans="1:8" x14ac:dyDescent="0.3">
      <c r="A77" s="38" t="s">
        <v>12</v>
      </c>
      <c r="B77" s="38"/>
      <c r="C77" s="38"/>
      <c r="D77" s="38"/>
      <c r="E77" s="38"/>
      <c r="F77" s="38"/>
      <c r="G77" s="38"/>
    </row>
    <row r="78" spans="1:8" x14ac:dyDescent="0.3">
      <c r="E78" s="37" t="s">
        <v>55</v>
      </c>
      <c r="F78" s="37"/>
      <c r="G78" s="37"/>
    </row>
    <row r="79" spans="1:8" x14ac:dyDescent="0.3">
      <c r="B79" s="9">
        <v>2022</v>
      </c>
      <c r="C79" s="9">
        <v>2021</v>
      </c>
      <c r="D79" s="9">
        <v>2020</v>
      </c>
      <c r="E79" s="9">
        <v>2019</v>
      </c>
      <c r="F79" s="9">
        <v>2018</v>
      </c>
      <c r="G79" s="9">
        <v>2017</v>
      </c>
    </row>
    <row r="80" spans="1:8" x14ac:dyDescent="0.3">
      <c r="A80" t="s">
        <v>120</v>
      </c>
      <c r="B80">
        <v>36477</v>
      </c>
      <c r="C80">
        <v>42377</v>
      </c>
      <c r="D80">
        <v>36410</v>
      </c>
      <c r="E80">
        <v>32173</v>
      </c>
      <c r="F80">
        <v>21856</v>
      </c>
      <c r="G80">
        <v>19934</v>
      </c>
    </row>
    <row r="81" spans="1:8" x14ac:dyDescent="0.3">
      <c r="A81" s="9" t="s">
        <v>121</v>
      </c>
      <c r="B81" s="9"/>
      <c r="C81" s="9"/>
      <c r="D81" s="9"/>
      <c r="E81" s="17"/>
      <c r="F81" s="17"/>
      <c r="G81" s="17"/>
    </row>
    <row r="82" spans="1:8" x14ac:dyDescent="0.3">
      <c r="A82" s="9" t="s">
        <v>82</v>
      </c>
      <c r="B82" s="17">
        <v>-2722</v>
      </c>
      <c r="C82" s="17">
        <v>33364</v>
      </c>
      <c r="D82" s="17">
        <v>21331</v>
      </c>
      <c r="E82" s="17">
        <v>11588</v>
      </c>
      <c r="F82" s="17">
        <v>10073</v>
      </c>
      <c r="G82" s="17">
        <v>3033</v>
      </c>
    </row>
    <row r="83" spans="1:8" x14ac:dyDescent="0.3">
      <c r="A83" t="s">
        <v>122</v>
      </c>
      <c r="B83" s="10"/>
      <c r="C83" s="10"/>
      <c r="E83" s="10"/>
      <c r="F83" s="10"/>
      <c r="G83" s="10"/>
    </row>
    <row r="84" spans="1:8" x14ac:dyDescent="0.3">
      <c r="A84" s="18" t="s">
        <v>123</v>
      </c>
      <c r="B84" s="10"/>
      <c r="C84" s="10"/>
      <c r="D84" s="18"/>
      <c r="E84" s="17"/>
      <c r="F84" s="17"/>
      <c r="G84" s="17"/>
    </row>
    <row r="85" spans="1:8" x14ac:dyDescent="0.3">
      <c r="A85" s="1" t="s">
        <v>129</v>
      </c>
      <c r="B85" s="10">
        <v>41921</v>
      </c>
      <c r="C85" s="10">
        <v>34296</v>
      </c>
      <c r="D85" s="10">
        <v>25251</v>
      </c>
      <c r="E85" s="10">
        <v>21789</v>
      </c>
      <c r="F85" s="10">
        <v>15341</v>
      </c>
      <c r="G85" s="10">
        <v>11478</v>
      </c>
    </row>
    <row r="86" spans="1:8" x14ac:dyDescent="0.3">
      <c r="A86" s="1" t="s">
        <v>124</v>
      </c>
      <c r="B86" s="10">
        <v>19621</v>
      </c>
      <c r="C86" s="10">
        <v>12757</v>
      </c>
      <c r="D86" s="10">
        <v>9208</v>
      </c>
      <c r="E86" s="10">
        <v>6864</v>
      </c>
      <c r="F86" s="10">
        <v>5418</v>
      </c>
      <c r="G86" s="10">
        <v>4215</v>
      </c>
    </row>
    <row r="87" spans="1:8" x14ac:dyDescent="0.3">
      <c r="A87" s="1" t="s">
        <v>70</v>
      </c>
      <c r="B87" s="10">
        <v>0</v>
      </c>
      <c r="C87" s="10">
        <v>137</v>
      </c>
      <c r="D87" s="10">
        <v>-71</v>
      </c>
      <c r="E87" s="10">
        <v>164</v>
      </c>
      <c r="F87" s="10">
        <v>274</v>
      </c>
      <c r="G87" s="10">
        <v>202</v>
      </c>
    </row>
    <row r="88" spans="1:8" x14ac:dyDescent="0.3">
      <c r="A88" s="1" t="s">
        <v>125</v>
      </c>
      <c r="B88" s="10">
        <v>16966</v>
      </c>
      <c r="C88" s="10">
        <v>-14306</v>
      </c>
      <c r="D88" s="10">
        <v>-2582</v>
      </c>
      <c r="E88" s="10">
        <v>-249</v>
      </c>
      <c r="F88" s="10">
        <v>219</v>
      </c>
      <c r="G88" s="10">
        <v>-292</v>
      </c>
    </row>
    <row r="89" spans="1:8" x14ac:dyDescent="0.3">
      <c r="A89" s="1" t="s">
        <v>126</v>
      </c>
      <c r="B89" s="10">
        <v>-8148</v>
      </c>
      <c r="C89" s="10">
        <v>-310</v>
      </c>
      <c r="D89" s="10">
        <v>-554</v>
      </c>
      <c r="E89" s="10">
        <v>796</v>
      </c>
      <c r="F89" s="10">
        <v>441</v>
      </c>
      <c r="G89" s="10">
        <v>-29</v>
      </c>
    </row>
    <row r="90" spans="1:8" x14ac:dyDescent="0.3">
      <c r="A90" s="1" t="s">
        <v>127</v>
      </c>
      <c r="B90" s="10"/>
      <c r="C90" s="10"/>
      <c r="D90" s="1"/>
      <c r="E90" s="10"/>
      <c r="F90" s="10"/>
      <c r="G90" s="10"/>
    </row>
    <row r="91" spans="1:8" x14ac:dyDescent="0.3">
      <c r="A91" s="1" t="s">
        <v>92</v>
      </c>
      <c r="B91" s="10">
        <v>-2592</v>
      </c>
      <c r="C91" s="10">
        <v>-9487</v>
      </c>
      <c r="D91" s="10">
        <v>-2849</v>
      </c>
      <c r="E91" s="10">
        <v>-3278</v>
      </c>
      <c r="F91" s="10">
        <v>-1314</v>
      </c>
      <c r="G91" s="10">
        <v>-3583</v>
      </c>
      <c r="H91" s="32"/>
    </row>
    <row r="92" spans="1:8" x14ac:dyDescent="0.3">
      <c r="A92" s="1" t="s">
        <v>93</v>
      </c>
      <c r="B92" s="10">
        <v>-21897</v>
      </c>
      <c r="C92" s="10">
        <v>-18163</v>
      </c>
      <c r="D92" s="10">
        <v>-8169</v>
      </c>
      <c r="E92" s="10">
        <v>-7681</v>
      </c>
      <c r="F92" s="10">
        <v>-4615</v>
      </c>
      <c r="G92" s="10">
        <v>-4780</v>
      </c>
    </row>
    <row r="93" spans="1:8" x14ac:dyDescent="0.3">
      <c r="A93" s="1" t="s">
        <v>103</v>
      </c>
      <c r="B93" s="10">
        <v>2945</v>
      </c>
      <c r="C93" s="10">
        <v>3602</v>
      </c>
      <c r="D93" s="10">
        <v>17480</v>
      </c>
      <c r="E93" s="10">
        <v>8193</v>
      </c>
      <c r="F93" s="10">
        <v>3263</v>
      </c>
      <c r="G93" s="10">
        <v>7100</v>
      </c>
    </row>
    <row r="94" spans="1:8" x14ac:dyDescent="0.3">
      <c r="A94" s="1" t="s">
        <v>104</v>
      </c>
      <c r="B94" s="10">
        <v>-1558</v>
      </c>
      <c r="C94" s="10">
        <v>2123</v>
      </c>
      <c r="D94" s="10">
        <v>5754</v>
      </c>
      <c r="E94" s="10">
        <v>-1383</v>
      </c>
      <c r="F94" s="10">
        <v>472</v>
      </c>
      <c r="G94" s="10">
        <v>283</v>
      </c>
    </row>
    <row r="95" spans="1:8" x14ac:dyDescent="0.3">
      <c r="A95" s="1" t="s">
        <v>105</v>
      </c>
      <c r="B95" s="10">
        <v>2216</v>
      </c>
      <c r="C95" s="10">
        <v>2314</v>
      </c>
      <c r="D95" s="10">
        <v>1265</v>
      </c>
      <c r="E95" s="10">
        <v>1711</v>
      </c>
      <c r="F95" s="10">
        <v>1151</v>
      </c>
      <c r="G95" s="10">
        <v>738</v>
      </c>
    </row>
    <row r="96" spans="1:8" x14ac:dyDescent="0.3">
      <c r="A96" s="11" t="s">
        <v>128</v>
      </c>
      <c r="B96" s="12">
        <f t="shared" ref="B96:C96" si="20">SUM(B82:B95)</f>
        <v>46752</v>
      </c>
      <c r="C96" s="12">
        <f t="shared" si="20"/>
        <v>46327</v>
      </c>
      <c r="D96" s="12">
        <f>SUM(D82:D95)</f>
        <v>66064</v>
      </c>
      <c r="E96" s="12">
        <f>SUM(E82:E95)</f>
        <v>38514</v>
      </c>
      <c r="F96" s="12">
        <f t="shared" ref="F96:G96" si="21">SUM(F82:F95)</f>
        <v>30723</v>
      </c>
      <c r="G96" s="12">
        <f t="shared" si="21"/>
        <v>18365</v>
      </c>
    </row>
    <row r="97" spans="1:7" x14ac:dyDescent="0.3">
      <c r="A97" s="9" t="s">
        <v>130</v>
      </c>
      <c r="B97" s="9"/>
      <c r="C97" s="9"/>
      <c r="D97" s="9"/>
      <c r="E97" s="10"/>
      <c r="F97" s="10"/>
      <c r="G97" s="10"/>
    </row>
    <row r="98" spans="1:7" x14ac:dyDescent="0.3">
      <c r="A98" s="1" t="s">
        <v>131</v>
      </c>
      <c r="B98" s="10">
        <v>-63645</v>
      </c>
      <c r="C98" s="10">
        <v>-61053</v>
      </c>
      <c r="D98" s="10">
        <v>-40140</v>
      </c>
      <c r="E98" s="10">
        <v>-16861</v>
      </c>
      <c r="F98" s="10">
        <v>-13427</v>
      </c>
      <c r="G98" s="10">
        <v>-11955</v>
      </c>
    </row>
    <row r="99" spans="1:7" x14ac:dyDescent="0.3">
      <c r="A99" s="1" t="s">
        <v>132</v>
      </c>
      <c r="B99" s="10">
        <v>5324</v>
      </c>
      <c r="C99" s="10">
        <v>5657</v>
      </c>
      <c r="D99" s="10">
        <v>5096</v>
      </c>
      <c r="E99" s="10">
        <v>4172</v>
      </c>
      <c r="F99" s="10">
        <v>2104</v>
      </c>
      <c r="G99" s="10">
        <v>1897</v>
      </c>
    </row>
    <row r="100" spans="1:7" x14ac:dyDescent="0.3">
      <c r="A100" s="1" t="s">
        <v>133</v>
      </c>
      <c r="B100" s="10">
        <v>-8316</v>
      </c>
      <c r="C100" s="10">
        <v>-1985</v>
      </c>
      <c r="D100" s="10">
        <v>-2325</v>
      </c>
      <c r="E100" s="10">
        <v>-2461</v>
      </c>
      <c r="F100" s="10">
        <v>-2186</v>
      </c>
      <c r="G100" s="10">
        <v>-13972</v>
      </c>
    </row>
    <row r="101" spans="1:7" x14ac:dyDescent="0.3">
      <c r="A101" s="1" t="s">
        <v>134</v>
      </c>
      <c r="B101" s="10">
        <v>31601</v>
      </c>
      <c r="C101" s="10">
        <v>59384</v>
      </c>
      <c r="D101" s="10">
        <v>50237</v>
      </c>
      <c r="E101" s="10">
        <v>22681</v>
      </c>
      <c r="F101" s="10">
        <v>8240</v>
      </c>
      <c r="G101" s="10">
        <v>9677</v>
      </c>
    </row>
    <row r="102" spans="1:7" x14ac:dyDescent="0.3">
      <c r="A102" s="1" t="s">
        <v>135</v>
      </c>
      <c r="B102" s="10">
        <v>-2565</v>
      </c>
      <c r="C102" s="10">
        <v>-60157</v>
      </c>
      <c r="D102" s="10">
        <v>-72479</v>
      </c>
      <c r="E102" s="10">
        <v>-31812</v>
      </c>
      <c r="F102" s="10">
        <v>-7100</v>
      </c>
      <c r="G102" s="10">
        <v>-12731</v>
      </c>
    </row>
    <row r="103" spans="1:7" x14ac:dyDescent="0.3">
      <c r="A103" s="11" t="s">
        <v>136</v>
      </c>
      <c r="B103" s="12">
        <f t="shared" ref="B103:C103" si="22">SUM(B98:B102)</f>
        <v>-37601</v>
      </c>
      <c r="C103" s="12">
        <f t="shared" si="22"/>
        <v>-58154</v>
      </c>
      <c r="D103" s="12">
        <f>SUM(D98:D102)</f>
        <v>-59611</v>
      </c>
      <c r="E103" s="12">
        <f>SUM(E98:E102)</f>
        <v>-24281</v>
      </c>
      <c r="F103" s="12">
        <f t="shared" ref="F103:G103" si="23">SUM(F98:F102)</f>
        <v>-12369</v>
      </c>
      <c r="G103" s="12">
        <f t="shared" si="23"/>
        <v>-27084</v>
      </c>
    </row>
    <row r="104" spans="1:7" x14ac:dyDescent="0.3">
      <c r="A104" s="9" t="s">
        <v>137</v>
      </c>
      <c r="B104" s="9"/>
      <c r="C104" s="9"/>
      <c r="D104" s="9"/>
      <c r="E104" s="10"/>
      <c r="F104" s="10"/>
      <c r="G104" s="10"/>
    </row>
    <row r="105" spans="1:7" x14ac:dyDescent="0.3">
      <c r="A105" s="1" t="s">
        <v>158</v>
      </c>
      <c r="B105" s="10">
        <v>-6000</v>
      </c>
      <c r="C105" s="10">
        <v>0</v>
      </c>
      <c r="D105" s="10">
        <v>0</v>
      </c>
      <c r="E105" s="10">
        <v>0</v>
      </c>
      <c r="F105" s="10">
        <v>0</v>
      </c>
      <c r="G105" s="10">
        <v>0</v>
      </c>
    </row>
    <row r="106" spans="1:7" x14ac:dyDescent="0.3">
      <c r="A106" s="1" t="s">
        <v>156</v>
      </c>
      <c r="B106" s="10">
        <v>41553</v>
      </c>
      <c r="C106" s="10">
        <v>7956</v>
      </c>
      <c r="D106" s="10">
        <v>6796</v>
      </c>
      <c r="E106" s="10">
        <v>0</v>
      </c>
      <c r="F106" s="10">
        <v>0</v>
      </c>
      <c r="G106" s="10">
        <v>0</v>
      </c>
    </row>
    <row r="107" spans="1:7" x14ac:dyDescent="0.3">
      <c r="A107" s="1" t="s">
        <v>157</v>
      </c>
      <c r="B107" s="10">
        <v>-37554</v>
      </c>
      <c r="C107" s="10">
        <v>-7753</v>
      </c>
      <c r="D107" s="10">
        <v>-6177</v>
      </c>
      <c r="E107" s="10">
        <v>0</v>
      </c>
      <c r="F107" s="10">
        <v>0</v>
      </c>
      <c r="G107" s="10">
        <v>0</v>
      </c>
    </row>
    <row r="108" spans="1:7" x14ac:dyDescent="0.3">
      <c r="A108" s="1" t="s">
        <v>138</v>
      </c>
      <c r="B108" s="10">
        <v>21166</v>
      </c>
      <c r="C108" s="10">
        <v>19003</v>
      </c>
      <c r="D108" s="10">
        <v>10525</v>
      </c>
      <c r="E108" s="10">
        <v>2273</v>
      </c>
      <c r="F108" s="10">
        <v>768</v>
      </c>
      <c r="G108" s="10">
        <v>16228</v>
      </c>
    </row>
    <row r="109" spans="1:7" x14ac:dyDescent="0.3">
      <c r="A109" s="1" t="s">
        <v>139</v>
      </c>
      <c r="B109" s="10">
        <v>-1258</v>
      </c>
      <c r="C109" s="10">
        <v>-1590</v>
      </c>
      <c r="D109" s="10">
        <v>-1553</v>
      </c>
      <c r="E109" s="10">
        <v>-2684</v>
      </c>
      <c r="F109" s="10">
        <v>-668</v>
      </c>
      <c r="G109" s="10">
        <v>-1301</v>
      </c>
    </row>
    <row r="110" spans="1:7" x14ac:dyDescent="0.3">
      <c r="A110" s="1" t="s">
        <v>140</v>
      </c>
      <c r="B110" s="10">
        <v>-7941</v>
      </c>
      <c r="C110" s="10">
        <v>-11163</v>
      </c>
      <c r="D110" s="10">
        <v>-10642</v>
      </c>
      <c r="E110" s="10">
        <v>-9628</v>
      </c>
      <c r="F110" s="10">
        <v>-7449</v>
      </c>
      <c r="G110" s="10">
        <v>-4799</v>
      </c>
    </row>
    <row r="111" spans="1:7" x14ac:dyDescent="0.3">
      <c r="A111" s="1" t="s">
        <v>141</v>
      </c>
      <c r="B111" s="10">
        <v>-248</v>
      </c>
      <c r="C111" s="10">
        <v>-162</v>
      </c>
      <c r="D111" s="10">
        <v>-53</v>
      </c>
      <c r="E111" s="10">
        <v>-27</v>
      </c>
      <c r="F111" s="10">
        <v>-337</v>
      </c>
      <c r="G111" s="10">
        <v>-200</v>
      </c>
    </row>
    <row r="112" spans="1:7" x14ac:dyDescent="0.3">
      <c r="A112" s="11" t="s">
        <v>142</v>
      </c>
      <c r="B112" s="12">
        <f t="shared" ref="B112" si="24">SUM(B105:B111)</f>
        <v>9718</v>
      </c>
      <c r="C112" s="12">
        <f>SUM(C105:C111)</f>
        <v>6291</v>
      </c>
      <c r="D112" s="12">
        <f t="shared" ref="D112:G112" si="25">SUM(D105:D111)</f>
        <v>-1104</v>
      </c>
      <c r="E112" s="12">
        <f t="shared" si="25"/>
        <v>-10066</v>
      </c>
      <c r="F112" s="12">
        <f t="shared" si="25"/>
        <v>-7686</v>
      </c>
      <c r="G112" s="12">
        <f t="shared" si="25"/>
        <v>9928</v>
      </c>
    </row>
    <row r="113" spans="1:7" x14ac:dyDescent="0.3">
      <c r="A113" s="23" t="s">
        <v>150</v>
      </c>
      <c r="B113" s="12">
        <v>-1093</v>
      </c>
      <c r="C113" s="12">
        <v>-364</v>
      </c>
      <c r="D113" s="12">
        <v>618</v>
      </c>
      <c r="E113" s="12">
        <v>70</v>
      </c>
      <c r="F113" s="12">
        <v>-351</v>
      </c>
      <c r="G113" s="12">
        <v>713</v>
      </c>
    </row>
    <row r="114" spans="1:7" x14ac:dyDescent="0.3">
      <c r="A114" s="11" t="s">
        <v>151</v>
      </c>
      <c r="B114" s="12">
        <f t="shared" ref="B114:G114" si="26">B96+B103+B112+B113</f>
        <v>17776</v>
      </c>
      <c r="C114" s="12">
        <f t="shared" si="26"/>
        <v>-5900</v>
      </c>
      <c r="D114" s="12">
        <f t="shared" si="26"/>
        <v>5967</v>
      </c>
      <c r="E114" s="12">
        <f t="shared" si="26"/>
        <v>4237</v>
      </c>
      <c r="F114" s="12">
        <f t="shared" si="26"/>
        <v>10317</v>
      </c>
      <c r="G114" s="12">
        <f t="shared" si="26"/>
        <v>1922</v>
      </c>
    </row>
    <row r="115" spans="1:7" ht="15" thickBot="1" x14ac:dyDescent="0.35">
      <c r="A115" s="13" t="s">
        <v>152</v>
      </c>
      <c r="B115" s="14">
        <f t="shared" ref="B115:G115" si="27">B80+B114</f>
        <v>54253</v>
      </c>
      <c r="C115" s="14">
        <f t="shared" si="27"/>
        <v>36477</v>
      </c>
      <c r="D115" s="14">
        <f t="shared" si="27"/>
        <v>42377</v>
      </c>
      <c r="E115" s="14">
        <f t="shared" si="27"/>
        <v>36410</v>
      </c>
      <c r="F115" s="14">
        <f t="shared" si="27"/>
        <v>32173</v>
      </c>
      <c r="G115" s="14">
        <f t="shared" si="27"/>
        <v>21856</v>
      </c>
    </row>
    <row r="116" spans="1:7" ht="15" thickTop="1" x14ac:dyDescent="0.3">
      <c r="A116" t="s">
        <v>143</v>
      </c>
      <c r="E116" s="10"/>
      <c r="F116" s="10"/>
      <c r="G116" s="10"/>
    </row>
    <row r="117" spans="1:7" x14ac:dyDescent="0.3">
      <c r="E117" s="10"/>
      <c r="F117" s="10"/>
      <c r="G117" s="10"/>
    </row>
    <row r="118" spans="1:7" x14ac:dyDescent="0.3">
      <c r="A118" t="s">
        <v>144</v>
      </c>
      <c r="E118" s="10">
        <v>875</v>
      </c>
      <c r="F118" s="10">
        <v>854</v>
      </c>
      <c r="G118" s="10">
        <v>328</v>
      </c>
    </row>
    <row r="119" spans="1:7" x14ac:dyDescent="0.3">
      <c r="A119" t="s">
        <v>145</v>
      </c>
      <c r="E119" s="10">
        <v>3361</v>
      </c>
      <c r="F119" s="10">
        <v>0</v>
      </c>
      <c r="G119" s="10">
        <v>0</v>
      </c>
    </row>
    <row r="120" spans="1:7" x14ac:dyDescent="0.3">
      <c r="A120" t="s">
        <v>146</v>
      </c>
      <c r="E120" s="10">
        <v>647</v>
      </c>
      <c r="F120" s="10">
        <v>381</v>
      </c>
      <c r="G120" s="10">
        <v>200</v>
      </c>
    </row>
    <row r="121" spans="1:7" x14ac:dyDescent="0.3">
      <c r="A121" t="s">
        <v>147</v>
      </c>
      <c r="E121">
        <v>39</v>
      </c>
      <c r="F121">
        <v>194</v>
      </c>
      <c r="G121">
        <v>119</v>
      </c>
    </row>
    <row r="122" spans="1:7" x14ac:dyDescent="0.3">
      <c r="A122" t="s">
        <v>148</v>
      </c>
      <c r="E122">
        <v>881</v>
      </c>
      <c r="F122">
        <v>1184</v>
      </c>
      <c r="G122">
        <v>957</v>
      </c>
    </row>
    <row r="123" spans="1:7" x14ac:dyDescent="0.3">
      <c r="A123" t="s">
        <v>149</v>
      </c>
      <c r="E123">
        <v>7870</v>
      </c>
      <c r="F123" s="10">
        <v>0</v>
      </c>
      <c r="G123" s="10">
        <v>0</v>
      </c>
    </row>
    <row r="124" spans="1:7" x14ac:dyDescent="0.3">
      <c r="A124" t="s">
        <v>153</v>
      </c>
      <c r="E124">
        <v>13723</v>
      </c>
      <c r="F124">
        <v>10615</v>
      </c>
      <c r="G124">
        <v>9637</v>
      </c>
    </row>
    <row r="125" spans="1:7" x14ac:dyDescent="0.3">
      <c r="A125" t="s">
        <v>154</v>
      </c>
      <c r="E125">
        <v>1362</v>
      </c>
      <c r="F125">
        <v>3641</v>
      </c>
      <c r="G125">
        <v>3541</v>
      </c>
    </row>
  </sheetData>
  <mergeCells count="6">
    <mergeCell ref="E78:G78"/>
    <mergeCell ref="A2:G2"/>
    <mergeCell ref="A34:G34"/>
    <mergeCell ref="E35:G35"/>
    <mergeCell ref="A77:G77"/>
    <mergeCell ref="B3: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2"/>
  <sheetViews>
    <sheetView zoomScale="97" zoomScaleNormal="235" workbookViewId="0">
      <selection activeCell="C2" sqref="C2:I2"/>
    </sheetView>
  </sheetViews>
  <sheetFormatPr defaultRowHeight="14.4" x14ac:dyDescent="0.3"/>
  <cols>
    <col min="1" max="1" width="4.6640625" customWidth="1"/>
    <col min="2" max="2" width="44.88671875" customWidth="1"/>
    <col min="3" max="3" width="14" bestFit="1" customWidth="1"/>
    <col min="4" max="5" width="10.88671875" bestFit="1" customWidth="1"/>
    <col min="6" max="6" width="10.88671875" hidden="1" customWidth="1"/>
    <col min="7" max="9" width="10.88671875" bestFit="1" customWidth="1"/>
  </cols>
  <sheetData>
    <row r="1" spans="1:17" ht="60" customHeight="1" x14ac:dyDescent="0.5">
      <c r="A1" s="7"/>
      <c r="B1" s="26" t="str">
        <f>'Financial Statements'!A1</f>
        <v>Amazon Inc</v>
      </c>
      <c r="C1" s="26"/>
      <c r="D1" s="26"/>
      <c r="E1" s="26"/>
      <c r="F1" s="26"/>
      <c r="G1" s="8"/>
      <c r="H1" s="8"/>
      <c r="I1" s="8"/>
      <c r="J1" s="8"/>
      <c r="K1" s="8"/>
      <c r="L1" s="8"/>
      <c r="M1" s="8"/>
      <c r="N1" s="8"/>
    </row>
    <row r="2" spans="1:17" x14ac:dyDescent="0.3">
      <c r="C2" s="37" t="s">
        <v>57</v>
      </c>
      <c r="D2" s="37"/>
      <c r="E2" s="37"/>
      <c r="F2" s="37"/>
      <c r="G2" s="37"/>
      <c r="H2" s="37"/>
      <c r="I2" s="37"/>
    </row>
    <row r="3" spans="1:17" x14ac:dyDescent="0.3">
      <c r="C3" s="9">
        <f>'Financial Statements'!B4</f>
        <v>2022</v>
      </c>
      <c r="D3" s="9">
        <f>'Financial Statements'!C4</f>
        <v>2021</v>
      </c>
      <c r="E3" s="9">
        <f>'Financial Statements'!D4</f>
        <v>2020</v>
      </c>
      <c r="F3" s="9" t="s">
        <v>174</v>
      </c>
      <c r="G3" s="9">
        <v>2019</v>
      </c>
      <c r="H3" s="9">
        <v>2018</v>
      </c>
      <c r="I3" s="9">
        <v>2017</v>
      </c>
      <c r="L3">
        <v>2022</v>
      </c>
      <c r="M3">
        <v>2021</v>
      </c>
      <c r="N3">
        <v>2020</v>
      </c>
      <c r="O3">
        <v>2019</v>
      </c>
      <c r="P3">
        <v>2018</v>
      </c>
      <c r="Q3">
        <v>2017</v>
      </c>
    </row>
    <row r="4" spans="1:17" x14ac:dyDescent="0.3">
      <c r="A4" s="27">
        <v>1</v>
      </c>
      <c r="B4" s="9" t="s">
        <v>13</v>
      </c>
      <c r="C4" s="9"/>
      <c r="D4" s="9"/>
      <c r="E4" s="9"/>
      <c r="F4" s="9"/>
    </row>
    <row r="5" spans="1:17" x14ac:dyDescent="0.3">
      <c r="A5" s="27">
        <f>+A4+0.1</f>
        <v>1.1000000000000001</v>
      </c>
      <c r="B5" t="s">
        <v>14</v>
      </c>
      <c r="C5" s="28">
        <f>'Financial Statements'!B43/'Financial Statements'!B58</f>
        <v>0.9446435811136924</v>
      </c>
      <c r="D5" s="28">
        <f>'Financial Statements'!C43/'Financial Statements'!C58</f>
        <v>1.1357597739445826</v>
      </c>
      <c r="E5" s="28">
        <f>'Financial Statements'!D43/'Financial Statements'!D58</f>
        <v>1.0502274795268425</v>
      </c>
      <c r="F5" s="28">
        <f>AVERAGE(G5:I5)</f>
        <v>1.07837925317285</v>
      </c>
      <c r="G5" s="28">
        <f>'Financial Statements'!E43/'Financial Statements'!E58</f>
        <v>1.0970482394205803</v>
      </c>
      <c r="H5" s="28">
        <f>'Financial Statements'!F43/'Financial Statements'!F58</f>
        <v>1.0981123247210891</v>
      </c>
      <c r="I5" s="28">
        <f>'Financial Statements'!G43/'Financial Statements'!G58</f>
        <v>1.039977195376881</v>
      </c>
    </row>
    <row r="6" spans="1:17" x14ac:dyDescent="0.3">
      <c r="A6" s="27">
        <f t="shared" ref="A6:A13" si="0">+A5+0.1</f>
        <v>1.2000000000000002</v>
      </c>
      <c r="B6" t="s">
        <v>15</v>
      </c>
      <c r="C6" s="28">
        <f>('Financial Statements'!B39+'Financial Statements'!B40+'Financial Statements'!B42)/'Financial Statements'!B58</f>
        <v>0.72323721145740161</v>
      </c>
      <c r="D6" s="28">
        <f>('Financial Statements'!C39+'Financial Statements'!C40+'Financial Statements'!C42)/'Financial Statements'!C58</f>
        <v>0.90633039517523517</v>
      </c>
      <c r="E6" s="28">
        <f>('Financial Statements'!D39+'Financial Statements'!D40+'Financial Statements'!D42)/'Financial Statements'!D58</f>
        <v>0.86195355461486722</v>
      </c>
      <c r="F6" s="28">
        <f t="shared" ref="F6:F14" si="1">AVERAGE(G6:I6)</f>
        <v>0.82445735570109446</v>
      </c>
      <c r="G6" s="28">
        <f>('Financial Statements'!E39+'Financial Statements'!E40+'Financial Statements'!E42)/'Financial Statements'!E58</f>
        <v>0.86362911674941922</v>
      </c>
      <c r="H6" s="28">
        <f>('Financial Statements'!F39+'Financial Statements'!F40+'Financial Statements'!F42)/'Financial Statements'!F58</f>
        <v>0.84699741194016753</v>
      </c>
      <c r="I6" s="28">
        <f>('Financial Statements'!G39+'Financial Statements'!G40+'Financial Statements'!G42)/'Financial Statements'!G58</f>
        <v>0.76274553841369663</v>
      </c>
    </row>
    <row r="7" spans="1:17" x14ac:dyDescent="0.3">
      <c r="A7" s="27">
        <f t="shared" si="0"/>
        <v>1.3000000000000003</v>
      </c>
      <c r="B7" t="s">
        <v>16</v>
      </c>
      <c r="C7" s="28">
        <f>('Financial Statements'!B39+'Financial Statements'!B40)/'Financial Statements'!B58</f>
        <v>0.45063805962945563</v>
      </c>
      <c r="D7" s="28">
        <f>('Financial Statements'!C39+'Financial Statements'!C40)/'Financial Statements'!C58</f>
        <v>0.67513671572968947</v>
      </c>
      <c r="E7" s="28">
        <f>('Financial Statements'!D39+'Financial Statements'!D40)/'Financial Statements'!D58</f>
        <v>0.66776911817066897</v>
      </c>
      <c r="F7" s="28">
        <f t="shared" si="1"/>
        <v>0.58834934062995325</v>
      </c>
      <c r="G7" s="28">
        <f>('Financial Statements'!E39+'Financial Statements'!E40)/'Financial Statements'!E58</f>
        <v>0.62657723317997538</v>
      </c>
      <c r="H7" s="28">
        <f>('Financial Statements'!F39+'Financial Statements'!F40)/'Financial Statements'!F58</f>
        <v>0.60314953721980957</v>
      </c>
      <c r="I7" s="28">
        <f>('Financial Statements'!G39+'Financial Statements'!G40)/'Financial Statements'!G58</f>
        <v>0.53532125149007481</v>
      </c>
    </row>
    <row r="8" spans="1:17" x14ac:dyDescent="0.3">
      <c r="A8" s="27">
        <f t="shared" si="0"/>
        <v>1.4000000000000004</v>
      </c>
      <c r="B8" t="s">
        <v>17</v>
      </c>
      <c r="C8" s="28">
        <f>('Financial Statements'!B39+'Financial Statements'!B40)/('Financial Statements'!B16/365)</f>
        <v>50.94221052946277</v>
      </c>
      <c r="D8" s="28">
        <f>('Financial Statements'!C39+'Financial Statements'!C40)/('Financial Statements'!C16/365)</f>
        <v>78.791856484987974</v>
      </c>
      <c r="E8" s="28">
        <f>('Financial Statements'!D39+'Financial Statements'!D40)/('Financial Statements'!D16/365)</f>
        <v>84.822436082772299</v>
      </c>
      <c r="F8" s="28">
        <f t="shared" si="1"/>
        <v>69.628707681090887</v>
      </c>
      <c r="G8" s="28">
        <f>('Financial Statements'!E39+'Financial Statements'!E40)/('Financial Statements'!E16/365)</f>
        <v>75.504133753914743</v>
      </c>
      <c r="H8" s="28">
        <f>('Financial Statements'!F39+'Financial Statements'!F40)/('Financial Statements'!F16/365)</f>
        <v>68.292843340923312</v>
      </c>
      <c r="I8" s="28">
        <f>('Financial Statements'!G39+'Financial Statements'!G40)/('Financial Statements'!G16/365)</f>
        <v>65.08914594843462</v>
      </c>
    </row>
    <row r="9" spans="1:17" x14ac:dyDescent="0.3">
      <c r="A9" s="27">
        <f t="shared" si="0"/>
        <v>1.5000000000000004</v>
      </c>
      <c r="B9" t="s">
        <v>18</v>
      </c>
      <c r="C9" s="28">
        <f>L9*365/'Financial Statements'!B10</f>
        <v>42.362878292150079</v>
      </c>
      <c r="D9" s="28">
        <f>M9*365/'Financial Statements'!C10</f>
        <v>37.817567120994035</v>
      </c>
      <c r="E9" s="28">
        <f>N9*365/'Financial Statements'!D10</f>
        <v>34.646581542774115</v>
      </c>
      <c r="F9" s="28">
        <f t="shared" si="1"/>
        <v>43.316610133683035</v>
      </c>
      <c r="G9" s="28">
        <f>O9*365/'Financial Statements'!E10</f>
        <v>41.531494659771894</v>
      </c>
      <c r="H9" s="28">
        <f>P9*365/'Financial Statements'!F10</f>
        <v>43.568602862973925</v>
      </c>
      <c r="I9" s="28">
        <f>Q9*365/'Financial Statements'!G10</f>
        <v>44.849732878303286</v>
      </c>
      <c r="K9" t="s">
        <v>160</v>
      </c>
      <c r="L9">
        <f>AVERAGE('Financial Statements'!B41:C41)</f>
        <v>33522.5</v>
      </c>
      <c r="M9">
        <f>AVERAGE('Financial Statements'!C41:D41)</f>
        <v>28217.5</v>
      </c>
      <c r="N9">
        <f>AVERAGE('Financial Statements'!D41:E41)</f>
        <v>22146</v>
      </c>
      <c r="O9">
        <f>AVERAGE('Financial Statements'!E41:F41)</f>
        <v>18835.5</v>
      </c>
      <c r="P9">
        <f>AVERAGE('Financial Statements'!F41:G41)</f>
        <v>16610.5</v>
      </c>
      <c r="Q9">
        <f>AVERAGE('Financial Statements'!G41:H41)</f>
        <v>13754</v>
      </c>
    </row>
    <row r="10" spans="1:17" x14ac:dyDescent="0.3">
      <c r="A10" s="27">
        <f t="shared" si="0"/>
        <v>1.6000000000000005</v>
      </c>
      <c r="B10" t="s">
        <v>19</v>
      </c>
      <c r="C10" s="28">
        <f>L10*365/'Financial Statements'!B10</f>
        <v>100.00027697857917</v>
      </c>
      <c r="D10" s="28">
        <f>M10*365/'Financial Statements'!C10</f>
        <v>101.3223992450724</v>
      </c>
      <c r="E10" s="28">
        <f>N10*365/'Financial Statements'!D10</f>
        <v>93.650276245461981</v>
      </c>
      <c r="F10" s="28">
        <f t="shared" si="1"/>
        <v>95.771152980897114</v>
      </c>
      <c r="G10" s="28">
        <f>O10*365/'Financial Statements'!E10</f>
        <v>94.124163323989947</v>
      </c>
      <c r="H10" s="28">
        <f>P10*365/'Financial Statements'!F10</f>
        <v>95.486073184052429</v>
      </c>
      <c r="I10" s="28">
        <f>Q10*365/'Financial Statements'!G10</f>
        <v>97.703222434648993</v>
      </c>
      <c r="K10" t="s">
        <v>161</v>
      </c>
      <c r="L10">
        <f>AVERAGE('Financial Statements'!B55:C55)</f>
        <v>79132</v>
      </c>
      <c r="M10">
        <f>AVERAGE('Financial Statements'!C55:D55)</f>
        <v>75601.5</v>
      </c>
      <c r="N10">
        <f>AVERAGE('Financial Statements'!D55:E55)</f>
        <v>59861</v>
      </c>
      <c r="O10">
        <f>AVERAGE('Financial Statements'!E55:F55)</f>
        <v>42687.5</v>
      </c>
      <c r="P10">
        <f>AVERAGE('Financial Statements'!F55:G55)</f>
        <v>36404</v>
      </c>
      <c r="Q10">
        <f>AVERAGE('Financial Statements'!G55:H55)</f>
        <v>29962.5</v>
      </c>
    </row>
    <row r="11" spans="1:17" x14ac:dyDescent="0.3">
      <c r="A11" s="27">
        <f t="shared" si="0"/>
        <v>1.7000000000000006</v>
      </c>
      <c r="B11" t="s">
        <v>20</v>
      </c>
      <c r="C11" s="28">
        <f>365*L11/'Financial Statements'!B8</f>
        <v>26.719380796641133</v>
      </c>
      <c r="D11" s="28">
        <f>365*M11/'Financial Statements'!C8</f>
        <v>22.309560854962093</v>
      </c>
      <c r="E11" s="28">
        <f>365*N11/'Financial Statements'!D8</f>
        <v>21.441613307638111</v>
      </c>
      <c r="F11" s="28">
        <f t="shared" si="1"/>
        <v>23.279936443951684</v>
      </c>
      <c r="G11" s="28">
        <f>365*O11/'Financial Statements'!E8</f>
        <v>24.391928262310977</v>
      </c>
      <c r="H11" s="28">
        <f>365*P11/'Financial Statements'!F8</f>
        <v>23.384656507233121</v>
      </c>
      <c r="I11" s="28">
        <f>365*Q11/'Financial Statements'!G8</f>
        <v>22.063224562310953</v>
      </c>
      <c r="K11" t="s">
        <v>162</v>
      </c>
      <c r="L11">
        <f>AVERAGE('Financial Statements'!B42:C42)</f>
        <v>37625.5</v>
      </c>
      <c r="M11">
        <f>AVERAGE('Financial Statements'!C42:D42)</f>
        <v>28716.5</v>
      </c>
      <c r="N11">
        <f>AVERAGE('Financial Statements'!D42:E42)</f>
        <v>22679</v>
      </c>
      <c r="O11">
        <f>AVERAGE('Financial Statements'!E42:F42)</f>
        <v>18746.5</v>
      </c>
      <c r="P11">
        <f>AVERAGE('Financial Statements'!F42:G42)</f>
        <v>14920.5</v>
      </c>
      <c r="Q11">
        <f>AVERAGE('Financial Statements'!G42:H42)</f>
        <v>10751.5</v>
      </c>
    </row>
    <row r="12" spans="1:17" x14ac:dyDescent="0.3">
      <c r="A12" s="27">
        <f t="shared" si="0"/>
        <v>1.8000000000000007</v>
      </c>
      <c r="B12" t="s">
        <v>21</v>
      </c>
      <c r="C12" s="29">
        <f>C9+C11-C10</f>
        <v>-30.918017889787961</v>
      </c>
      <c r="D12" s="29">
        <f t="shared" ref="D12:I12" si="2">D9+D11-D10</f>
        <v>-41.195271269116276</v>
      </c>
      <c r="E12" s="29">
        <f t="shared" si="2"/>
        <v>-37.562081395049759</v>
      </c>
      <c r="F12" s="28">
        <f t="shared" si="1"/>
        <v>-29.174606403262406</v>
      </c>
      <c r="G12" s="29">
        <f t="shared" si="2"/>
        <v>-28.200740401907083</v>
      </c>
      <c r="H12" s="29">
        <f t="shared" si="2"/>
        <v>-28.53281381384538</v>
      </c>
      <c r="I12" s="29">
        <f t="shared" si="2"/>
        <v>-30.790264994034757</v>
      </c>
    </row>
    <row r="13" spans="1:17" x14ac:dyDescent="0.3">
      <c r="A13" s="27">
        <f t="shared" si="0"/>
        <v>1.9000000000000008</v>
      </c>
      <c r="B13" t="s">
        <v>22</v>
      </c>
      <c r="C13" s="25">
        <f>C14/'Financial Statements'!B8</f>
        <v>-1.6735962084349094E-2</v>
      </c>
      <c r="D13" s="25">
        <f>D14/'Financial Statements'!C8</f>
        <v>4.1109186032156859E-2</v>
      </c>
      <c r="E13" s="25">
        <f>E14/'Financial Statements'!D8</f>
        <v>1.6442869576028845E-2</v>
      </c>
      <c r="F13" s="25">
        <f t="shared" si="1"/>
        <v>2.4067043160152509E-2</v>
      </c>
      <c r="G13" s="25">
        <f>G14/'Financial Statements'!E8</f>
        <v>3.0379079002716365E-2</v>
      </c>
      <c r="H13" s="25">
        <f>H14/'Financial Statements'!F8</f>
        <v>2.8812256587958968E-2</v>
      </c>
      <c r="I13" s="25">
        <f>I14/'Financial Statements'!G8</f>
        <v>1.3009793889782196E-2</v>
      </c>
    </row>
    <row r="14" spans="1:17" x14ac:dyDescent="0.3">
      <c r="A14" s="27"/>
      <c r="B14" t="s">
        <v>23</v>
      </c>
      <c r="C14" s="30">
        <f>'Financial Statements'!B43-'Financial Statements'!B58</f>
        <v>-8602</v>
      </c>
      <c r="D14" s="30">
        <f>'Financial Statements'!C43-'Financial Statements'!C58</f>
        <v>19314</v>
      </c>
      <c r="E14" s="30">
        <f>'Financial Statements'!D43-'Financial Statements'!D58</f>
        <v>6348</v>
      </c>
      <c r="F14" s="28">
        <f t="shared" si="1"/>
        <v>5848.666666666667</v>
      </c>
      <c r="G14" s="30">
        <f>'Financial Statements'!E43-'Financial Statements'!E58</f>
        <v>8522</v>
      </c>
      <c r="H14" s="30">
        <f>'Financial Statements'!F43-'Financial Statements'!F58</f>
        <v>6710</v>
      </c>
      <c r="I14" s="30">
        <f>'Financial Statements'!G43-'Financial Statements'!G58</f>
        <v>2314</v>
      </c>
    </row>
    <row r="15" spans="1:17" x14ac:dyDescent="0.3">
      <c r="A15" s="27"/>
      <c r="D15" s="32"/>
    </row>
    <row r="16" spans="1:17" x14ac:dyDescent="0.3">
      <c r="A16" s="27">
        <f>+A4+1</f>
        <v>2</v>
      </c>
      <c r="B16" s="9" t="s">
        <v>24</v>
      </c>
      <c r="C16" s="9"/>
      <c r="D16" s="9"/>
      <c r="E16" s="9"/>
      <c r="F16" s="9"/>
    </row>
    <row r="17" spans="1:9" x14ac:dyDescent="0.3">
      <c r="A17" s="27">
        <f>+A16+0.1</f>
        <v>2.1</v>
      </c>
      <c r="B17" t="s">
        <v>10</v>
      </c>
      <c r="C17" s="25">
        <f>('Financial Statements'!B8-'Financial Statements'!B10)/'Financial Statements'!B8</f>
        <v>0.43805339865326287</v>
      </c>
      <c r="D17" s="25">
        <f>('Financial Statements'!C8-'Financial Statements'!C10)/'Financial Statements'!C8</f>
        <v>0.42032514441639601</v>
      </c>
      <c r="E17" s="25">
        <f>('Financial Statements'!D8-'Financial Statements'!D10)/'Financial Statements'!D8</f>
        <v>0.3956779186870571</v>
      </c>
      <c r="F17" s="25">
        <f t="shared" ref="F17:F22" si="3">AVERAGE(G17:I17)</f>
        <v>0.39435260812122985</v>
      </c>
      <c r="G17" s="25">
        <f>('Financial Statements'!E8-'Financial Statements'!E10)/'Financial Statements'!E8</f>
        <v>0.40990011478600608</v>
      </c>
      <c r="H17" s="25">
        <f>('Financial Statements'!F8-'Financial Statements'!F10)/'Financial Statements'!F8</f>
        <v>0.40247416128852193</v>
      </c>
      <c r="I17" s="25">
        <f>('Financial Statements'!G8-'Financial Statements'!G10)/'Financial Statements'!G8</f>
        <v>0.3706835482891615</v>
      </c>
    </row>
    <row r="18" spans="1:9" x14ac:dyDescent="0.3">
      <c r="A18" s="27">
        <f>+A17+0.1</f>
        <v>2.2000000000000002</v>
      </c>
      <c r="B18" t="s">
        <v>25</v>
      </c>
      <c r="C18" s="25">
        <f>C19/'Financial Statements'!B8</f>
        <v>0.10539064521589235</v>
      </c>
      <c r="D18" s="25">
        <f>D19/'Financial Statements'!C8</f>
        <v>0.1259519562728012</v>
      </c>
      <c r="E18" s="25">
        <f>E19/'Financial Statements'!D8</f>
        <v>0.12472025363670272</v>
      </c>
      <c r="F18" s="25">
        <f t="shared" si="3"/>
        <v>0.11211103575766838</v>
      </c>
      <c r="G18" s="25">
        <f>G19/'Financial Statements'!E8</f>
        <v>0.12950855904349748</v>
      </c>
      <c r="H18" s="25">
        <f>H19/'Financial Statements'!F8</f>
        <v>0.11920802792770743</v>
      </c>
      <c r="I18" s="25">
        <f>I19/'Financial Statements'!G8</f>
        <v>8.7616520301800227E-2</v>
      </c>
    </row>
    <row r="19" spans="1:9" x14ac:dyDescent="0.3">
      <c r="A19" s="27"/>
      <c r="B19" t="s">
        <v>26</v>
      </c>
      <c r="C19" s="30">
        <f>'Financial Statements'!B17+'Financial Statements'!B85</f>
        <v>54169</v>
      </c>
      <c r="D19" s="30">
        <f>'Financial Statements'!C17+'Financial Statements'!C85</f>
        <v>59175</v>
      </c>
      <c r="E19" s="30">
        <f>'Financial Statements'!D17+'Financial Statements'!D85</f>
        <v>48150</v>
      </c>
      <c r="F19" s="30">
        <f t="shared" si="3"/>
        <v>26558.666666666668</v>
      </c>
      <c r="G19" s="30">
        <f>'Financial Statements'!E17+'Financial Statements'!E85</f>
        <v>36330</v>
      </c>
      <c r="H19" s="30">
        <f>'Financial Statements'!F17+'Financial Statements'!F85</f>
        <v>27762</v>
      </c>
      <c r="I19" s="30">
        <f>'Financial Statements'!G17+'Financial Statements'!G85</f>
        <v>15584</v>
      </c>
    </row>
    <row r="20" spans="1:9" x14ac:dyDescent="0.3">
      <c r="A20" s="27">
        <f>+A18+0.1</f>
        <v>2.3000000000000003</v>
      </c>
      <c r="B20" t="s">
        <v>27</v>
      </c>
      <c r="C20" s="25">
        <f>C21/'Financial Statements'!B8</f>
        <v>2.3829581912242232E-2</v>
      </c>
      <c r="D20" s="25">
        <f>D21/'Financial Statements'!C8</f>
        <v>5.2954097509269465E-2</v>
      </c>
      <c r="E20" s="25">
        <f>E21/'Financial Statements'!D8</f>
        <v>5.9313999751336569E-2</v>
      </c>
      <c r="F20" s="25">
        <f t="shared" si="3"/>
        <v>4.2751726660289806E-2</v>
      </c>
      <c r="G20" s="25">
        <f>G21/'Financial Statements'!E8</f>
        <v>5.1835506662579051E-2</v>
      </c>
      <c r="H20" s="25">
        <f>H21/'Financial Statements'!F8</f>
        <v>5.3334879147397665E-2</v>
      </c>
      <c r="I20" s="25">
        <f>I21/'Financial Statements'!G8</f>
        <v>2.3084794170892695E-2</v>
      </c>
    </row>
    <row r="21" spans="1:9" x14ac:dyDescent="0.3">
      <c r="A21" s="27"/>
      <c r="B21" t="s">
        <v>28</v>
      </c>
      <c r="C21" s="30">
        <f>'Financial Statements'!B17</f>
        <v>12248</v>
      </c>
      <c r="D21" s="30">
        <f>'Financial Statements'!C17</f>
        <v>24879</v>
      </c>
      <c r="E21" s="30">
        <f>'Financial Statements'!D17</f>
        <v>22899</v>
      </c>
      <c r="F21" s="30">
        <f t="shared" si="3"/>
        <v>10356</v>
      </c>
      <c r="G21" s="30">
        <f>'Financial Statements'!E17</f>
        <v>14541</v>
      </c>
      <c r="H21" s="30">
        <f>'Financial Statements'!F17</f>
        <v>12421</v>
      </c>
      <c r="I21" s="30">
        <f>'Financial Statements'!G17</f>
        <v>4106</v>
      </c>
    </row>
    <row r="22" spans="1:9" x14ac:dyDescent="0.3">
      <c r="A22" s="27">
        <f>+A20+0.1</f>
        <v>2.4000000000000004</v>
      </c>
      <c r="B22" t="s">
        <v>29</v>
      </c>
      <c r="C22" s="25">
        <f>'Financial Statements'!B25/'Financial Statements'!B8</f>
        <v>-5.2958950004183018E-3</v>
      </c>
      <c r="D22" s="25">
        <f>'Financial Statements'!C25/'Financial Statements'!C8</f>
        <v>7.1014128755145567E-2</v>
      </c>
      <c r="E22" s="25">
        <f>'Financial Statements'!D25/'Financial Statements'!D8</f>
        <v>5.5252496995316841E-2</v>
      </c>
      <c r="F22" s="25">
        <f t="shared" si="3"/>
        <v>3.3871200743497143E-2</v>
      </c>
      <c r="G22" s="25">
        <f>'Financial Statements'!E25/'Financial Statements'!E8</f>
        <v>4.1308703060722513E-2</v>
      </c>
      <c r="H22" s="25">
        <f>'Financial Statements'!F25/'Financial Statements'!F8</f>
        <v>4.3252736305590261E-2</v>
      </c>
      <c r="I22" s="25">
        <f>'Financial Statements'!G25/'Financial Statements'!G8</f>
        <v>1.7052162864178651E-2</v>
      </c>
    </row>
    <row r="23" spans="1:9" x14ac:dyDescent="0.3">
      <c r="A23" s="27"/>
    </row>
    <row r="24" spans="1:9" x14ac:dyDescent="0.3">
      <c r="A24" s="27">
        <f>+A16+1</f>
        <v>3</v>
      </c>
      <c r="B24" s="9" t="s">
        <v>30</v>
      </c>
      <c r="C24" s="9"/>
      <c r="D24" s="9"/>
      <c r="E24" s="9"/>
      <c r="F24" s="9"/>
    </row>
    <row r="25" spans="1:9" x14ac:dyDescent="0.3">
      <c r="A25" s="27">
        <f>+A24+0.1</f>
        <v>3.1</v>
      </c>
      <c r="B25" t="s">
        <v>31</v>
      </c>
      <c r="C25" s="28">
        <f>'Financial Statements'!B61/'Financial Statements'!B72</f>
        <v>0.45979608745369516</v>
      </c>
      <c r="D25" s="28">
        <f>'Financial Statements'!C61/'Financial Statements'!C72</f>
        <v>0.35259141379435061</v>
      </c>
      <c r="E25" s="28">
        <f>'Financial Statements'!D61/'Financial Statements'!D72</f>
        <v>0.34062781037214679</v>
      </c>
      <c r="F25" s="28">
        <f t="shared" ref="F25:F31" si="4">AVERAGE(G25:I25)</f>
        <v>0.60324874657134142</v>
      </c>
      <c r="G25" s="28">
        <f>'Financial Statements'!E61/'Financial Statements'!E72</f>
        <v>0.37728005156300354</v>
      </c>
      <c r="H25" s="28">
        <f>'Financial Statements'!F61/'Financial Statements'!F72</f>
        <v>0.53950722175021237</v>
      </c>
      <c r="I25" s="28">
        <f>'Financial Statements'!G61/'Financial Statements'!G72</f>
        <v>0.89295896640080841</v>
      </c>
    </row>
    <row r="26" spans="1:9" x14ac:dyDescent="0.3">
      <c r="A26" s="27">
        <f t="shared" ref="A26:A30" si="5">+A25+0.1</f>
        <v>3.2</v>
      </c>
      <c r="B26" t="s">
        <v>32</v>
      </c>
      <c r="C26" s="28">
        <f>'Financial Statements'!B61/'Financial Statements'!B51</f>
        <v>0.14513427351812827</v>
      </c>
      <c r="D26" s="28">
        <f>'Financial Statements'!C61/'Financial Statements'!C51</f>
        <v>0.11590563763081116</v>
      </c>
      <c r="E26" s="28">
        <f>'Financial Statements'!D61/'Financial Statements'!D51</f>
        <v>9.9055091144009094E-2</v>
      </c>
      <c r="F26" s="28">
        <f t="shared" si="4"/>
        <v>0.14561088523972418</v>
      </c>
      <c r="G26" s="28">
        <f>'Financial Statements'!E61/'Financial Statements'!E51</f>
        <v>0.10394764881375196</v>
      </c>
      <c r="H26" s="28">
        <f>'Financial Statements'!F61/'Financial Statements'!F51</f>
        <v>0.14445305198957256</v>
      </c>
      <c r="I26" s="28">
        <f>'Financial Statements'!G61/'Financial Statements'!G51</f>
        <v>0.18843195491584799</v>
      </c>
    </row>
    <row r="27" spans="1:9" x14ac:dyDescent="0.3">
      <c r="A27" s="27">
        <f t="shared" si="5"/>
        <v>3.3000000000000003</v>
      </c>
      <c r="B27" t="s">
        <v>33</v>
      </c>
      <c r="C27" s="28">
        <f>'Financial Statements'!B61/('Financial Statements'!B72+'Financial Statements'!B61)</f>
        <v>0.31497281805687805</v>
      </c>
      <c r="D27" s="28">
        <f>'Financial Statements'!C61/('Financial Statements'!C72+'Financial Statements'!C61)</f>
        <v>0.26067843562990334</v>
      </c>
      <c r="E27" s="28">
        <f>'Financial Statements'!D61/('Financial Statements'!D72+'Financial Statements'!D61)</f>
        <v>0.2540808177607411</v>
      </c>
      <c r="F27" s="28">
        <f t="shared" si="4"/>
        <v>0.36536642865861096</v>
      </c>
      <c r="G27" s="28">
        <f>'Financial Statements'!E61/('Financial Statements'!E72+'Financial Statements'!E61)</f>
        <v>0.27393125394856915</v>
      </c>
      <c r="H27" s="28">
        <f>'Financial Statements'!F61/('Financial Statements'!F72+'Financial Statements'!F61)</f>
        <v>0.35044150110375277</v>
      </c>
      <c r="I27" s="28">
        <f>'Financial Statements'!G61/('Financial Statements'!G72+'Financial Statements'!G61)</f>
        <v>0.47172653092351102</v>
      </c>
    </row>
    <row r="28" spans="1:9" x14ac:dyDescent="0.3">
      <c r="A28" s="27">
        <f t="shared" si="5"/>
        <v>3.4000000000000004</v>
      </c>
      <c r="B28" t="s">
        <v>34</v>
      </c>
      <c r="C28" s="28">
        <f>-'Financial Statements'!B17/'Financial Statements'!B19</f>
        <v>5.1744824672581329</v>
      </c>
      <c r="D28" s="28">
        <f>-'Financial Statements'!C17/'Financial Statements'!C19</f>
        <v>13.752902155887231</v>
      </c>
      <c r="E28" s="28">
        <f>-'Financial Statements'!D17/'Financial Statements'!D19</f>
        <v>13.903460837887067</v>
      </c>
      <c r="F28" s="28">
        <f t="shared" si="4"/>
        <v>7.5652694399320026</v>
      </c>
      <c r="G28" s="28">
        <f>-'Financial Statements'!E17/'Financial Statements'!E19</f>
        <v>9.0881249999999998</v>
      </c>
      <c r="H28" s="28">
        <f>-'Financial Statements'!F17/'Financial Statements'!F19</f>
        <v>8.765702187720537</v>
      </c>
      <c r="I28" s="28">
        <f>-'Financial Statements'!G17/'Financial Statements'!G19</f>
        <v>4.841981132075472</v>
      </c>
    </row>
    <row r="29" spans="1:9" x14ac:dyDescent="0.3">
      <c r="A29" s="27">
        <f t="shared" si="5"/>
        <v>3.5000000000000004</v>
      </c>
      <c r="B29" t="s">
        <v>35</v>
      </c>
      <c r="C29" s="28">
        <f>'Financial Statements'!B17/'Financial Statements'!B61</f>
        <v>0.18239761727475801</v>
      </c>
      <c r="D29" s="28">
        <f>'Financial Statements'!C17/'Financial Statements'!C61</f>
        <v>0.51040128015755781</v>
      </c>
      <c r="E29" s="28">
        <f>'Financial Statements'!D17/'Financial Statements'!D61</f>
        <v>0.71973221020870004</v>
      </c>
      <c r="F29" s="28">
        <f t="shared" si="4"/>
        <v>0.43855009748176427</v>
      </c>
      <c r="G29" s="28">
        <f>'Financial Statements'!E17/'Financial Statements'!E61</f>
        <v>0.62103869479798413</v>
      </c>
      <c r="H29" s="28">
        <f>'Financial Statements'!F17/'Financial Statements'!F61</f>
        <v>0.52866567354756333</v>
      </c>
      <c r="I29" s="28">
        <f>'Financial Statements'!G17/'Financial Statements'!G61</f>
        <v>0.16594592409974537</v>
      </c>
    </row>
    <row r="30" spans="1:9" x14ac:dyDescent="0.3">
      <c r="A30" s="27">
        <f t="shared" si="5"/>
        <v>3.6000000000000005</v>
      </c>
      <c r="B30" t="s">
        <v>36</v>
      </c>
      <c r="C30" s="30">
        <f>C31/'Financial Statements'!B31</f>
        <v>-4.4491117872215131</v>
      </c>
      <c r="D30" s="30">
        <f>D31/'Financial Statements'!C31/20</f>
        <v>-1.2849802371541501</v>
      </c>
      <c r="E30" s="30">
        <f>E31/'Financial Statements'!D31/20</f>
        <v>1.9922999999999997</v>
      </c>
      <c r="F30" s="28">
        <f t="shared" si="4"/>
        <v>0.92985147171026072</v>
      </c>
      <c r="G30" s="30">
        <f>G31/'Financial Statements'!E31/20</f>
        <v>1.4248987854251012</v>
      </c>
      <c r="H30" s="30">
        <f>H31/'Financial Statements'!F31/20</f>
        <v>1.1236139630390143</v>
      </c>
      <c r="I30" s="30">
        <f>I31/'Financial Statements'!G31/20</f>
        <v>0.24104166666666668</v>
      </c>
    </row>
    <row r="31" spans="1:9" x14ac:dyDescent="0.3">
      <c r="A31" s="27"/>
      <c r="B31" t="s">
        <v>37</v>
      </c>
      <c r="C31" s="30">
        <f>SUM(C33:C36)</f>
        <v>-45332</v>
      </c>
      <c r="D31" s="30">
        <f t="shared" ref="D31:I31" si="6">SUM(D33:D36)</f>
        <v>-13004</v>
      </c>
      <c r="E31" s="30">
        <f t="shared" si="6"/>
        <v>19923</v>
      </c>
      <c r="F31" s="28">
        <f t="shared" si="4"/>
        <v>9112</v>
      </c>
      <c r="G31" s="30">
        <f t="shared" si="6"/>
        <v>14078</v>
      </c>
      <c r="H31" s="30">
        <f t="shared" si="6"/>
        <v>10944</v>
      </c>
      <c r="I31" s="30">
        <f t="shared" si="6"/>
        <v>2314</v>
      </c>
    </row>
    <row r="32" spans="1:9" x14ac:dyDescent="0.3">
      <c r="A32" s="27"/>
      <c r="C32" s="30"/>
      <c r="D32" s="30"/>
      <c r="E32" s="30"/>
      <c r="F32" s="30"/>
      <c r="G32" s="30"/>
      <c r="H32" s="30"/>
      <c r="I32" s="30"/>
    </row>
    <row r="33" spans="1:17" x14ac:dyDescent="0.3">
      <c r="A33" s="27"/>
      <c r="B33" t="s">
        <v>82</v>
      </c>
      <c r="C33" s="30">
        <f>'Financial Statements'!B25</f>
        <v>-2722</v>
      </c>
      <c r="D33" s="30">
        <f>'Financial Statements'!C25</f>
        <v>33364</v>
      </c>
      <c r="E33" s="30">
        <f>'Financial Statements'!D25</f>
        <v>21331</v>
      </c>
      <c r="F33" s="30"/>
      <c r="G33" s="30">
        <f>'Financial Statements'!E25</f>
        <v>11588</v>
      </c>
      <c r="H33" s="30">
        <f>'Financial Statements'!F25</f>
        <v>10073</v>
      </c>
      <c r="I33" s="30">
        <f>'Financial Statements'!G25</f>
        <v>3033</v>
      </c>
    </row>
    <row r="34" spans="1:17" x14ac:dyDescent="0.3">
      <c r="A34" s="27"/>
      <c r="B34" t="s">
        <v>163</v>
      </c>
      <c r="C34" s="30">
        <f>'Financial Statements'!B85</f>
        <v>41921</v>
      </c>
      <c r="D34" s="30">
        <f>'Financial Statements'!C85</f>
        <v>34296</v>
      </c>
      <c r="E34" s="30">
        <f>'Financial Statements'!D85</f>
        <v>25251</v>
      </c>
      <c r="F34" s="30"/>
      <c r="G34" s="30">
        <f>'Financial Statements'!E85</f>
        <v>21789</v>
      </c>
      <c r="H34" s="30">
        <f>'Financial Statements'!F85</f>
        <v>15341</v>
      </c>
      <c r="I34" s="30">
        <f>'Financial Statements'!G85</f>
        <v>11478</v>
      </c>
    </row>
    <row r="35" spans="1:17" x14ac:dyDescent="0.3">
      <c r="A35" s="27"/>
      <c r="B35" t="s">
        <v>164</v>
      </c>
      <c r="C35" s="30">
        <f>SUM('Financial Statements'!B91:B95)</f>
        <v>-20886</v>
      </c>
      <c r="D35" s="30">
        <f>SUM('Financial Statements'!C91:C95)</f>
        <v>-19611</v>
      </c>
      <c r="E35" s="30">
        <f>SUM('Financial Statements'!D91:D95)</f>
        <v>13481</v>
      </c>
      <c r="F35" s="30"/>
      <c r="G35" s="30">
        <f>SUM('Financial Statements'!E91:E95)</f>
        <v>-2438</v>
      </c>
      <c r="H35" s="30">
        <f>SUM('Financial Statements'!F91:F95)</f>
        <v>-1043</v>
      </c>
      <c r="I35" s="30">
        <f>SUM('Financial Statements'!G91:G95)</f>
        <v>-242</v>
      </c>
    </row>
    <row r="36" spans="1:17" x14ac:dyDescent="0.3">
      <c r="A36" s="27"/>
      <c r="B36" t="s">
        <v>165</v>
      </c>
      <c r="C36" s="30">
        <f>'Financial Statements'!B98</f>
        <v>-63645</v>
      </c>
      <c r="D36" s="30">
        <f>'Financial Statements'!C98</f>
        <v>-61053</v>
      </c>
      <c r="E36" s="30">
        <f>'Financial Statements'!D98</f>
        <v>-40140</v>
      </c>
      <c r="F36" s="30"/>
      <c r="G36" s="30">
        <f>'Financial Statements'!E98</f>
        <v>-16861</v>
      </c>
      <c r="H36" s="30">
        <f>'Financial Statements'!F98</f>
        <v>-13427</v>
      </c>
      <c r="I36" s="30">
        <f>'Financial Statements'!G98</f>
        <v>-11955</v>
      </c>
    </row>
    <row r="37" spans="1:17" x14ac:dyDescent="0.3">
      <c r="A37" s="27"/>
    </row>
    <row r="38" spans="1:17" x14ac:dyDescent="0.3">
      <c r="A38" s="27">
        <f>+A24+1</f>
        <v>4</v>
      </c>
      <c r="B38" s="9" t="s">
        <v>38</v>
      </c>
      <c r="C38" s="9"/>
      <c r="D38" s="9"/>
      <c r="E38" s="9"/>
      <c r="F38" s="9"/>
    </row>
    <row r="39" spans="1:17" x14ac:dyDescent="0.3">
      <c r="A39" s="27">
        <f>+A38+0.1</f>
        <v>4.0999999999999996</v>
      </c>
      <c r="B39" t="s">
        <v>39</v>
      </c>
      <c r="C39" s="28">
        <f>'Financial Statements'!B8/'List of Ratios'!L39</f>
        <v>1.1638791518346421</v>
      </c>
      <c r="D39" s="28">
        <f>'Financial Statements'!C8/'List of Ratios'!M39</f>
        <v>1.2668036411484285</v>
      </c>
      <c r="E39" s="28">
        <f>'Financial Statements'!D8/'List of Ratios'!N39</f>
        <v>1.4130073950988484</v>
      </c>
      <c r="F39" s="28">
        <f t="shared" ref="F39:F42" si="7">AVERAGE(G39:I39)</f>
        <v>1.5625519357019115</v>
      </c>
      <c r="G39" s="28">
        <f>'Financial Statements'!E8/'List of Ratios'!O39</f>
        <v>1.4463773795037844</v>
      </c>
      <c r="H39" s="28">
        <f>'Financial Statements'!F8/'List of Ratios'!P39</f>
        <v>1.5844916620741738</v>
      </c>
      <c r="I39" s="28">
        <f>'Financial Statements'!G8/'List of Ratios'!Q39</f>
        <v>1.6567867655277768</v>
      </c>
      <c r="K39" t="s">
        <v>166</v>
      </c>
      <c r="L39">
        <f>AVERAGE('Financial Statements'!B51:C51)</f>
        <v>441612</v>
      </c>
      <c r="M39">
        <f>AVERAGE('Financial Statements'!C51:D51)</f>
        <v>370872</v>
      </c>
      <c r="N39">
        <f>AVERAGE('Financial Statements'!D51:E51)</f>
        <v>273221.5</v>
      </c>
      <c r="O39">
        <f>AVERAGE('Financial Statements'!E51:F51)</f>
        <v>193948</v>
      </c>
      <c r="P39">
        <f>AVERAGE('Financial Statements'!F51:G51)</f>
        <v>146979</v>
      </c>
      <c r="Q39">
        <f>AVERAGE('Financial Statements'!G51:H51)</f>
        <v>107356</v>
      </c>
    </row>
    <row r="40" spans="1:17" x14ac:dyDescent="0.3">
      <c r="A40" s="27">
        <f t="shared" ref="A40:A42" si="8">+A39+0.1</f>
        <v>4.1999999999999993</v>
      </c>
      <c r="B40" t="s">
        <v>40</v>
      </c>
      <c r="C40" s="28">
        <f>'Financial Statements'!B8/'List of Ratios'!L40</f>
        <v>2.9624721898811512</v>
      </c>
      <c r="D40" s="28">
        <f>'Financial Statements'!C8/'List of Ratios'!M40</f>
        <v>3.4369465425483274</v>
      </c>
      <c r="E40" s="28">
        <f>'Financial Statements'!D8/'List of Ratios'!N40</f>
        <v>4.1552693750369984</v>
      </c>
      <c r="F40" s="28">
        <f t="shared" si="7"/>
        <v>4.3140152848960858</v>
      </c>
      <c r="G40" s="28">
        <f>'Financial Statements'!E8/'List of Ratios'!O40</f>
        <v>4.1712688287163013</v>
      </c>
      <c r="H40" s="28">
        <f>'Financial Statements'!F8/'List of Ratios'!P40</f>
        <v>4.2089406576723931</v>
      </c>
      <c r="I40" s="28">
        <f>'Financial Statements'!G8/'List of Ratios'!Q40</f>
        <v>4.5618363682995637</v>
      </c>
      <c r="K40" t="s">
        <v>167</v>
      </c>
      <c r="L40">
        <f>AVERAGE('Financial Statements'!B46:C46)</f>
        <v>173498</v>
      </c>
      <c r="M40">
        <f>AVERAGE('Financial Statements'!C46:D46)</f>
        <v>136697.5</v>
      </c>
      <c r="N40">
        <f>AVERAGE('Financial Statements'!D46:E46)</f>
        <v>92909.5</v>
      </c>
      <c r="O40">
        <f>AVERAGE('Financial Statements'!E46:F46)</f>
        <v>67251</v>
      </c>
      <c r="P40">
        <f>AVERAGE('Financial Statements'!F46:G46)</f>
        <v>55331.5</v>
      </c>
      <c r="Q40">
        <f>AVERAGE('Financial Statements'!G46:H46)</f>
        <v>38990</v>
      </c>
    </row>
    <row r="41" spans="1:17" x14ac:dyDescent="0.3">
      <c r="A41" s="27">
        <f t="shared" si="8"/>
        <v>4.2999999999999989</v>
      </c>
      <c r="B41" t="s">
        <v>41</v>
      </c>
      <c r="C41" s="28">
        <f>'Financial Statements'!B10/'List of Ratios'!L41</f>
        <v>8.6160340070102173</v>
      </c>
      <c r="D41" s="28">
        <f>'Financial Statements'!C10/'List of Ratios'!M41</f>
        <v>9.6515991849029863</v>
      </c>
      <c r="E41" s="28">
        <f>'Financial Statements'!D10/'List of Ratios'!N41</f>
        <v>10.53494987808182</v>
      </c>
      <c r="F41" s="28">
        <f t="shared" si="7"/>
        <v>8.4347968622331209</v>
      </c>
      <c r="G41" s="28">
        <f>'Financial Statements'!E10/'List of Ratios'!O41</f>
        <v>8.7885110562501652</v>
      </c>
      <c r="H41" s="28">
        <f>'Financial Statements'!F10/'List of Ratios'!P41</f>
        <v>8.3775924866801113</v>
      </c>
      <c r="I41" s="28">
        <f>'Financial Statements'!G10/'List of Ratios'!Q41</f>
        <v>8.1382870437690862</v>
      </c>
      <c r="K41" t="s">
        <v>160</v>
      </c>
      <c r="L41">
        <f>AVERAGE('Financial Statements'!B41:C41)</f>
        <v>33522.5</v>
      </c>
      <c r="M41">
        <f>AVERAGE('Financial Statements'!C41:D41)</f>
        <v>28217.5</v>
      </c>
      <c r="N41">
        <f>AVERAGE('Financial Statements'!D41:E41)</f>
        <v>22146</v>
      </c>
      <c r="O41">
        <f>AVERAGE('Financial Statements'!E41:F41)</f>
        <v>18835.5</v>
      </c>
      <c r="P41">
        <f>AVERAGE('Financial Statements'!F41:G41)</f>
        <v>16610.5</v>
      </c>
      <c r="Q41">
        <f>AVERAGE('Financial Statements'!G41:H41)</f>
        <v>13754</v>
      </c>
    </row>
    <row r="42" spans="1:17" x14ac:dyDescent="0.3">
      <c r="A42" s="27">
        <f t="shared" si="8"/>
        <v>4.3999999999999986</v>
      </c>
      <c r="B42" t="s">
        <v>42</v>
      </c>
      <c r="C42" s="25">
        <f>'Financial Statements'!B25/'Financial Statements'!B51</f>
        <v>-5.8831793375479545E-3</v>
      </c>
      <c r="D42" s="25">
        <f>'Financial Statements'!C25/'Financial Statements'!C51</f>
        <v>7.9334393851846041E-2</v>
      </c>
      <c r="E42" s="25">
        <f>'Financial Statements'!D25/'Financial Statements'!D51</f>
        <v>6.6411370040006856E-2</v>
      </c>
      <c r="F42" s="28">
        <f t="shared" si="7"/>
        <v>4.5491605787781941E-2</v>
      </c>
      <c r="G42" s="25">
        <f>'Financial Statements'!E25/'Financial Statements'!E51</f>
        <v>5.1445517829237106E-2</v>
      </c>
      <c r="H42" s="25">
        <f>'Financial Statements'!F25/'Financial Statements'!F51</f>
        <v>6.1931287196891449E-2</v>
      </c>
      <c r="I42" s="25">
        <f>'Financial Statements'!G25/'Financial Statements'!G51</f>
        <v>2.3098012337217273E-2</v>
      </c>
    </row>
    <row r="43" spans="1:17" x14ac:dyDescent="0.3">
      <c r="A43" s="27"/>
    </row>
    <row r="44" spans="1:17" x14ac:dyDescent="0.3">
      <c r="A44" s="27">
        <f>+A38+1</f>
        <v>5</v>
      </c>
      <c r="B44" s="9" t="s">
        <v>43</v>
      </c>
      <c r="C44" s="9"/>
      <c r="D44" s="9"/>
      <c r="E44" s="9"/>
      <c r="F44" s="9"/>
    </row>
    <row r="45" spans="1:17" x14ac:dyDescent="0.3">
      <c r="A45" s="27">
        <f>+A44+0.1</f>
        <v>5.0999999999999996</v>
      </c>
      <c r="B45" t="s">
        <v>44</v>
      </c>
      <c r="C45" s="28"/>
      <c r="D45" s="28">
        <f>M45/D46</f>
        <v>51.447923160006169</v>
      </c>
      <c r="E45" s="28">
        <f>N45/E46</f>
        <v>77.861103036098498</v>
      </c>
      <c r="F45" s="36">
        <f>AVERAGE(G45:I45)</f>
        <v>115.01338008193993</v>
      </c>
      <c r="G45" s="28">
        <f t="shared" ref="G45:I45" si="9">O45/G46</f>
        <v>80.305952194697952</v>
      </c>
      <c r="H45" s="28">
        <f t="shared" si="9"/>
        <v>74.576467725918562</v>
      </c>
      <c r="I45" s="28">
        <f t="shared" si="9"/>
        <v>190.15772032520326</v>
      </c>
      <c r="K45" t="s">
        <v>168</v>
      </c>
      <c r="L45">
        <v>84</v>
      </c>
      <c r="M45">
        <v>166.716995</v>
      </c>
      <c r="N45">
        <v>162.846497</v>
      </c>
      <c r="O45">
        <v>92.391998000000001</v>
      </c>
      <c r="P45">
        <v>75.098502999999994</v>
      </c>
      <c r="Q45">
        <v>58.473498999999997</v>
      </c>
    </row>
    <row r="46" spans="1:17" x14ac:dyDescent="0.3">
      <c r="A46" s="27">
        <f t="shared" ref="A46:A49" si="10">+A45+0.1</f>
        <v>5.1999999999999993</v>
      </c>
      <c r="B46" t="s">
        <v>45</v>
      </c>
      <c r="C46" s="36">
        <f>'Financial Statements'!B28</f>
        <v>-0.27</v>
      </c>
      <c r="D46" s="36">
        <f>'Financial Statements'!C28/20</f>
        <v>3.2404999999999999</v>
      </c>
      <c r="E46" s="36">
        <f>'Financial Statements'!D28/20</f>
        <v>2.0914999999999999</v>
      </c>
      <c r="F46" s="36">
        <f>AVERAGE(G46:I46)</f>
        <v>0.82166666666666677</v>
      </c>
      <c r="G46" s="36">
        <f>'Financial Statements'!E28/20</f>
        <v>1.1505000000000001</v>
      </c>
      <c r="H46" s="36">
        <f>'Financial Statements'!F28/20</f>
        <v>1.0070000000000001</v>
      </c>
      <c r="I46" s="36">
        <f>'Financial Statements'!G28/20</f>
        <v>0.3075</v>
      </c>
    </row>
    <row r="47" spans="1:17" x14ac:dyDescent="0.3">
      <c r="A47" s="27">
        <f t="shared" si="10"/>
        <v>5.2999999999999989</v>
      </c>
      <c r="B47" t="s">
        <v>46</v>
      </c>
      <c r="C47" s="29">
        <f>L45/C48</f>
        <v>5.8604383640434667</v>
      </c>
      <c r="D47" s="29">
        <f>M45/D48</f>
        <v>12.421317577489241</v>
      </c>
      <c r="E47" s="29">
        <f>N45/E48</f>
        <v>17.783331221360967</v>
      </c>
      <c r="F47" s="29"/>
      <c r="G47" s="29">
        <f t="shared" ref="G47:I47" si="11">O45/G48</f>
        <v>15.006628099258782</v>
      </c>
      <c r="H47" s="29">
        <f t="shared" si="11"/>
        <v>17.244598727869754</v>
      </c>
      <c r="I47" s="29">
        <f t="shared" si="11"/>
        <v>20.807272010538092</v>
      </c>
    </row>
    <row r="48" spans="1:17" x14ac:dyDescent="0.3">
      <c r="A48" s="27">
        <f t="shared" si="10"/>
        <v>5.3999999999999986</v>
      </c>
      <c r="B48" t="s">
        <v>47</v>
      </c>
      <c r="C48" s="28">
        <f>'Financial Statements'!B72/'Financial Statements'!B32</f>
        <v>14.333398763372264</v>
      </c>
      <c r="D48" s="28">
        <f>'Financial Statements'!C72/'Financial Statements'!C32/20</f>
        <v>13.421844660194173</v>
      </c>
      <c r="E48" s="28">
        <f>'Financial Statements'!D72/'Financial Statements'!D32/20</f>
        <v>9.1572549019607852</v>
      </c>
      <c r="F48" s="28"/>
      <c r="G48" s="28">
        <f>'Financial Statements'!E72/'Financial Statements'!E32/20</f>
        <v>6.1567460317460316</v>
      </c>
      <c r="H48" s="28">
        <f>'Financial Statements'!F72/'Financial Statements'!F32/20</f>
        <v>4.3548999999999998</v>
      </c>
      <c r="I48" s="28">
        <f>'Financial Statements'!G72/'Financial Statements'!G32/20</f>
        <v>2.8102434077079108</v>
      </c>
    </row>
    <row r="49" spans="1:9" x14ac:dyDescent="0.3">
      <c r="A49" s="27">
        <f t="shared" si="10"/>
        <v>5.4999999999999982</v>
      </c>
      <c r="B49" t="s">
        <v>48</v>
      </c>
      <c r="C49" s="25">
        <f>C50/C46</f>
        <v>0</v>
      </c>
      <c r="D49" s="25">
        <f t="shared" ref="D49:I49" si="12">D50/D46</f>
        <v>0</v>
      </c>
      <c r="E49" s="25">
        <f t="shared" si="12"/>
        <v>0</v>
      </c>
      <c r="F49" s="25"/>
      <c r="G49" s="25">
        <f t="shared" si="12"/>
        <v>0</v>
      </c>
      <c r="H49" s="25">
        <f t="shared" si="12"/>
        <v>0</v>
      </c>
      <c r="I49" s="25">
        <f t="shared" si="12"/>
        <v>0</v>
      </c>
    </row>
    <row r="50" spans="1:9" x14ac:dyDescent="0.3">
      <c r="A50" s="27"/>
      <c r="B50" t="s">
        <v>49</v>
      </c>
      <c r="C50" s="31">
        <v>0</v>
      </c>
      <c r="D50" s="31">
        <v>0</v>
      </c>
      <c r="E50" s="31">
        <v>0</v>
      </c>
      <c r="F50" s="31"/>
      <c r="G50" s="31">
        <v>0</v>
      </c>
      <c r="H50" s="31">
        <v>0</v>
      </c>
      <c r="I50" s="31">
        <v>0</v>
      </c>
    </row>
    <row r="51" spans="1:9" x14ac:dyDescent="0.3">
      <c r="A51" s="27">
        <f>+A49+0.1</f>
        <v>5.5999999999999979</v>
      </c>
      <c r="B51" t="s">
        <v>50</v>
      </c>
      <c r="C51" s="25">
        <f>C50/L45</f>
        <v>0</v>
      </c>
      <c r="D51" s="25">
        <f>D50/M45</f>
        <v>0</v>
      </c>
      <c r="E51" s="25">
        <f>E50/N45</f>
        <v>0</v>
      </c>
      <c r="F51" s="25"/>
      <c r="G51" s="25">
        <f t="shared" ref="G51:I51" si="13">G50/O45</f>
        <v>0</v>
      </c>
      <c r="H51" s="25">
        <f t="shared" si="13"/>
        <v>0</v>
      </c>
      <c r="I51" s="25">
        <f t="shared" si="13"/>
        <v>0</v>
      </c>
    </row>
    <row r="52" spans="1:9" x14ac:dyDescent="0.3">
      <c r="A52" s="27">
        <f t="shared" ref="A52:A55" si="14">+A50+0.1</f>
        <v>0.1</v>
      </c>
      <c r="B52" t="s">
        <v>51</v>
      </c>
      <c r="C52" s="25">
        <f>'Financial Statements'!B25/'Financial Statements'!B72</f>
        <v>-1.8638346240490815E-2</v>
      </c>
      <c r="D52" s="25">
        <f>'Financial Statements'!C25/'Financial Statements'!C72</f>
        <v>0.2413396506202756</v>
      </c>
      <c r="E52" s="25">
        <f>'Financial Statements'!D25/'Financial Statements'!D72</f>
        <v>0.22837351719412444</v>
      </c>
      <c r="F52" s="25">
        <f>AVERAGE(G52:I52)</f>
        <v>0.17582807255900831</v>
      </c>
      <c r="G52" s="25">
        <f>'Financial Statements'!E25/'Financial Statements'!E72</f>
        <v>0.1867225265871737</v>
      </c>
      <c r="H52" s="25">
        <f>'Financial Statements'!F25/'Financial Statements'!F72</f>
        <v>0.231302670555007</v>
      </c>
      <c r="I52" s="25">
        <f>'Financial Statements'!G25/'Financial Statements'!G72</f>
        <v>0.10945902053484427</v>
      </c>
    </row>
    <row r="53" spans="1:9" x14ac:dyDescent="0.3">
      <c r="A53" s="27">
        <f t="shared" si="14"/>
        <v>5.6999999999999975</v>
      </c>
      <c r="B53" t="s">
        <v>52</v>
      </c>
      <c r="C53" s="25">
        <f>'Financial Statements'!B25/('Financial Statements'!B61+'Financial Statements'!B72)</f>
        <v>-1.2767773801203605E-2</v>
      </c>
      <c r="D53" s="25">
        <f>'Financial Statements'!C25/('Financial Statements'!C61+'Financial Statements'!C72)</f>
        <v>0.17842760804111471</v>
      </c>
      <c r="E53" s="25">
        <f>'Financial Statements'!D25/('Financial Statements'!D61+'Financial Statements'!D72)</f>
        <v>0.17034818719054465</v>
      </c>
      <c r="F53" s="25">
        <f>AVERAGE(G53:I53)</f>
        <v>0.11454743423825485</v>
      </c>
      <c r="G53" s="25">
        <f>'Financial Statements'!E25/('Financial Statements'!E61+'Financial Statements'!E72)</f>
        <v>0.13557339073870417</v>
      </c>
      <c r="H53" s="25">
        <f>'Financial Statements'!F25/('Financial Statements'!F61+'Financial Statements'!F72)</f>
        <v>0.15024461547640355</v>
      </c>
      <c r="I53" s="25">
        <f>'Financial Statements'!G25/('Financial Statements'!G61+'Financial Statements'!G72)</f>
        <v>5.7824296499656827E-2</v>
      </c>
    </row>
    <row r="54" spans="1:9" x14ac:dyDescent="0.3">
      <c r="A54" s="27">
        <f t="shared" si="14"/>
        <v>0.2</v>
      </c>
      <c r="B54" t="s">
        <v>42</v>
      </c>
      <c r="C54" s="33">
        <f>C42</f>
        <v>-5.8831793375479545E-3</v>
      </c>
      <c r="D54" s="33">
        <f t="shared" ref="D54:I54" si="15">D42</f>
        <v>7.9334393851846041E-2</v>
      </c>
      <c r="E54" s="33">
        <f t="shared" si="15"/>
        <v>6.6411370040006856E-2</v>
      </c>
      <c r="F54" s="25">
        <f>AVERAGE(G54:I54)</f>
        <v>4.5491605787781941E-2</v>
      </c>
      <c r="G54" s="33">
        <f t="shared" si="15"/>
        <v>5.1445517829237106E-2</v>
      </c>
      <c r="H54" s="33">
        <f t="shared" si="15"/>
        <v>6.1931287196891449E-2</v>
      </c>
      <c r="I54" s="33">
        <f t="shared" si="15"/>
        <v>2.3098012337217273E-2</v>
      </c>
    </row>
    <row r="55" spans="1:9" x14ac:dyDescent="0.3">
      <c r="A55" s="27">
        <f t="shared" si="14"/>
        <v>5.7999999999999972</v>
      </c>
      <c r="B55" t="s">
        <v>53</v>
      </c>
      <c r="C55" s="28">
        <f>C56/C19</f>
        <v>17.094057486754416</v>
      </c>
      <c r="D55" s="28">
        <f t="shared" ref="D55:I55" si="16">D56/D19</f>
        <v>28.855462431770171</v>
      </c>
      <c r="E55" s="28">
        <f t="shared" si="16"/>
        <v>33.820518587746626</v>
      </c>
      <c r="F55" s="28"/>
      <c r="G55" s="28">
        <f t="shared" si="16"/>
        <v>25.351415916322598</v>
      </c>
      <c r="H55" s="28">
        <f t="shared" si="16"/>
        <v>26.055558649232765</v>
      </c>
      <c r="I55" s="28">
        <f t="shared" si="16"/>
        <v>35.620032751540037</v>
      </c>
    </row>
    <row r="56" spans="1:9" x14ac:dyDescent="0.3">
      <c r="A56" s="27"/>
      <c r="B56" t="s">
        <v>54</v>
      </c>
      <c r="C56" s="32">
        <f>SUM(C58:C62)</f>
        <v>925968</v>
      </c>
      <c r="D56" s="32">
        <f t="shared" ref="D56:I56" si="17">SUM(D58:D62)</f>
        <v>1707521.9893999998</v>
      </c>
      <c r="E56" s="32">
        <f t="shared" si="17"/>
        <v>1628457.97</v>
      </c>
      <c r="F56" s="32"/>
      <c r="G56" s="32">
        <f t="shared" si="17"/>
        <v>921016.94024000003</v>
      </c>
      <c r="H56" s="32">
        <f t="shared" si="17"/>
        <v>723354.41922000004</v>
      </c>
      <c r="I56" s="32">
        <f t="shared" si="17"/>
        <v>555102.59039999999</v>
      </c>
    </row>
    <row r="58" spans="1:9" x14ac:dyDescent="0.3">
      <c r="B58" s="19" t="s">
        <v>169</v>
      </c>
      <c r="C58" s="30">
        <f>'Financial Statements'!B31*'List of Ratios'!L45</f>
        <v>855876</v>
      </c>
      <c r="D58" s="30">
        <f>'Financial Statements'!C31*'List of Ratios'!M45*20</f>
        <v>1687175.9893999998</v>
      </c>
      <c r="E58" s="30">
        <f>'Financial Statements'!D31*'List of Ratios'!N45*20</f>
        <v>1628464.97</v>
      </c>
      <c r="F58" s="30"/>
      <c r="G58" s="30">
        <f>'Financial Statements'!E31*'List of Ratios'!O45*20</f>
        <v>912832.94024000003</v>
      </c>
      <c r="H58" s="30">
        <f>'Financial Statements'!F31*'List of Ratios'!P45*20</f>
        <v>731459.41922000004</v>
      </c>
      <c r="I58" s="30">
        <f>'Financial Statements'!G31*'List of Ratios'!Q45*20</f>
        <v>561345.59039999999</v>
      </c>
    </row>
    <row r="59" spans="1:9" x14ac:dyDescent="0.3">
      <c r="B59" s="34" t="s">
        <v>170</v>
      </c>
      <c r="C59" s="30">
        <f>'Financial Statements'!B61</f>
        <v>67150</v>
      </c>
      <c r="D59" s="30">
        <f>'Financial Statements'!C61</f>
        <v>48744</v>
      </c>
      <c r="E59" s="30">
        <f>'Financial Statements'!D61</f>
        <v>31816</v>
      </c>
      <c r="F59" s="30"/>
      <c r="G59" s="30">
        <f>'Financial Statements'!E61</f>
        <v>23414</v>
      </c>
      <c r="H59" s="30">
        <f>'Financial Statements'!F61</f>
        <v>23495</v>
      </c>
      <c r="I59" s="30">
        <f>'Financial Statements'!G61</f>
        <v>24743</v>
      </c>
    </row>
    <row r="60" spans="1:9" x14ac:dyDescent="0.3">
      <c r="B60" s="34" t="s">
        <v>173</v>
      </c>
      <c r="C60" s="30">
        <f>'Financial Statements'!B60</f>
        <v>72968</v>
      </c>
      <c r="D60" s="30">
        <f>'Financial Statements'!C60</f>
        <v>67651</v>
      </c>
      <c r="E60" s="30">
        <f>'Financial Statements'!D60</f>
        <v>52573</v>
      </c>
      <c r="F60" s="30"/>
      <c r="G60" s="30">
        <f>'Financial Statements'!E60</f>
        <v>39791</v>
      </c>
      <c r="H60" s="30">
        <f>'Financial Statements'!F60</f>
        <v>9650</v>
      </c>
      <c r="I60" s="30">
        <f>'Financial Statements'!G60</f>
        <v>0</v>
      </c>
    </row>
    <row r="61" spans="1:9" x14ac:dyDescent="0.3">
      <c r="B61" s="34" t="s">
        <v>171</v>
      </c>
      <c r="C61" s="30">
        <f>-'Financial Statements'!B39</f>
        <v>-53888</v>
      </c>
      <c r="D61" s="30">
        <f>-'Financial Statements'!C39</f>
        <v>-36220</v>
      </c>
      <c r="E61" s="30">
        <f>-'Financial Statements'!D39</f>
        <v>-42122</v>
      </c>
      <c r="F61" s="30"/>
      <c r="G61" s="30">
        <f>-'Financial Statements'!E39</f>
        <v>-36092</v>
      </c>
      <c r="H61" s="30">
        <f>-'Financial Statements'!F39</f>
        <v>-31750</v>
      </c>
      <c r="I61" s="30">
        <f>-'Financial Statements'!G39</f>
        <v>-20522</v>
      </c>
    </row>
    <row r="62" spans="1:9" x14ac:dyDescent="0.3">
      <c r="B62" s="34" t="s">
        <v>172</v>
      </c>
      <c r="C62" s="30">
        <f>-'Financial Statements'!B40</f>
        <v>-16138</v>
      </c>
      <c r="D62" s="30">
        <f>-'Financial Statements'!C40</f>
        <v>-59829</v>
      </c>
      <c r="E62" s="30">
        <f>-'Financial Statements'!D40</f>
        <v>-42274</v>
      </c>
      <c r="F62" s="30"/>
      <c r="G62" s="30">
        <f>-'Financial Statements'!E40</f>
        <v>-18929</v>
      </c>
      <c r="H62" s="30">
        <f>-'Financial Statements'!F40</f>
        <v>-9500</v>
      </c>
      <c r="I62" s="30">
        <f>-'Financial Statements'!G40</f>
        <v>-10464</v>
      </c>
    </row>
  </sheetData>
  <mergeCells count="1">
    <mergeCell ref="C2: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ED055-8AAD-4ACC-80AC-D0E8A134D357}">
  <dimension ref="A2:H37"/>
  <sheetViews>
    <sheetView topLeftCell="A21" zoomScale="125" workbookViewId="0">
      <selection activeCell="M39" sqref="M39"/>
    </sheetView>
  </sheetViews>
  <sheetFormatPr defaultRowHeight="14.4" x14ac:dyDescent="0.3"/>
  <sheetData>
    <row r="2" spans="1:8" x14ac:dyDescent="0.3">
      <c r="B2">
        <v>2022</v>
      </c>
      <c r="C2">
        <v>2021</v>
      </c>
      <c r="D2" t="s">
        <v>174</v>
      </c>
    </row>
    <row r="3" spans="1:8" x14ac:dyDescent="0.3">
      <c r="A3" t="s">
        <v>14</v>
      </c>
      <c r="B3" s="36">
        <v>0.9446435811136924</v>
      </c>
      <c r="C3" s="36">
        <v>1.1357597739445826</v>
      </c>
      <c r="D3" s="36">
        <v>1.07837925317285</v>
      </c>
    </row>
    <row r="4" spans="1:8" x14ac:dyDescent="0.3">
      <c r="A4" t="s">
        <v>15</v>
      </c>
      <c r="B4" s="36">
        <v>0.72323721145740161</v>
      </c>
      <c r="C4" s="36">
        <v>0.90633039517523517</v>
      </c>
      <c r="D4" s="36">
        <v>0.82445735570109446</v>
      </c>
      <c r="E4" s="35"/>
      <c r="F4" s="35"/>
      <c r="G4" s="35"/>
      <c r="H4" s="35"/>
    </row>
    <row r="5" spans="1:8" x14ac:dyDescent="0.3">
      <c r="A5" t="s">
        <v>16</v>
      </c>
      <c r="B5" s="36">
        <v>0.45063805962945563</v>
      </c>
      <c r="C5" s="36">
        <v>0.67513671572968947</v>
      </c>
      <c r="D5" s="36">
        <v>0.58834934062995325</v>
      </c>
      <c r="E5" s="35"/>
      <c r="F5" s="35"/>
      <c r="G5" s="35"/>
      <c r="H5" s="35"/>
    </row>
    <row r="6" spans="1:8" x14ac:dyDescent="0.3">
      <c r="C6" s="35"/>
      <c r="D6" s="35"/>
      <c r="E6" s="35"/>
      <c r="F6" s="35"/>
      <c r="G6" s="35"/>
      <c r="H6" s="35"/>
    </row>
    <row r="7" spans="1:8" x14ac:dyDescent="0.3">
      <c r="C7" s="35"/>
      <c r="D7" s="35"/>
      <c r="E7" s="35"/>
      <c r="F7" s="35"/>
      <c r="G7" s="35"/>
      <c r="H7" s="35"/>
    </row>
    <row r="8" spans="1:8" x14ac:dyDescent="0.3">
      <c r="B8">
        <v>2022</v>
      </c>
      <c r="C8">
        <v>2021</v>
      </c>
      <c r="D8" t="s">
        <v>174</v>
      </c>
    </row>
    <row r="9" spans="1:8" x14ac:dyDescent="0.3">
      <c r="A9" t="s">
        <v>21</v>
      </c>
      <c r="B9" s="36">
        <v>-30.918017889787961</v>
      </c>
      <c r="C9" s="36">
        <v>-41.195271269116276</v>
      </c>
      <c r="D9" s="36">
        <v>-29.174606403262406</v>
      </c>
    </row>
    <row r="10" spans="1:8" x14ac:dyDescent="0.3">
      <c r="B10">
        <v>2022</v>
      </c>
      <c r="C10">
        <v>2021</v>
      </c>
      <c r="D10" t="s">
        <v>174</v>
      </c>
    </row>
    <row r="11" spans="1:8" x14ac:dyDescent="0.3">
      <c r="A11" t="s">
        <v>23</v>
      </c>
      <c r="B11">
        <v>-8602</v>
      </c>
      <c r="C11">
        <v>19314</v>
      </c>
      <c r="D11">
        <v>5848.666666666667</v>
      </c>
    </row>
    <row r="14" spans="1:8" x14ac:dyDescent="0.3">
      <c r="A14" s="9" t="s">
        <v>24</v>
      </c>
      <c r="B14">
        <v>2022</v>
      </c>
      <c r="C14">
        <v>2021</v>
      </c>
      <c r="D14" t="s">
        <v>174</v>
      </c>
      <c r="E14" s="9"/>
    </row>
    <row r="15" spans="1:8" x14ac:dyDescent="0.3">
      <c r="A15" t="s">
        <v>10</v>
      </c>
      <c r="B15" s="25">
        <v>0.43805339865326287</v>
      </c>
      <c r="C15" s="25">
        <v>0.42032514441639601</v>
      </c>
      <c r="D15" s="25">
        <v>0.39435260812122985</v>
      </c>
    </row>
    <row r="16" spans="1:8" x14ac:dyDescent="0.3">
      <c r="A16" t="s">
        <v>25</v>
      </c>
      <c r="B16" s="25">
        <v>0.10539064521589235</v>
      </c>
      <c r="C16" s="25">
        <v>0.1259519562728012</v>
      </c>
      <c r="D16" s="25">
        <v>0.11211103575766838</v>
      </c>
    </row>
    <row r="17" spans="1:8" x14ac:dyDescent="0.3">
      <c r="A17" t="s">
        <v>27</v>
      </c>
      <c r="B17" s="25">
        <v>2.3829581912242232E-2</v>
      </c>
      <c r="C17" s="25">
        <v>5.2954097509269465E-2</v>
      </c>
      <c r="D17" s="25">
        <v>4.2751726660289806E-2</v>
      </c>
    </row>
    <row r="18" spans="1:8" x14ac:dyDescent="0.3">
      <c r="A18" t="s">
        <v>29</v>
      </c>
      <c r="B18" s="25">
        <v>-5.2958950004183018E-3</v>
      </c>
      <c r="C18" s="25">
        <v>7.1014128755145567E-2</v>
      </c>
      <c r="D18" s="25">
        <v>3.3871200743497143E-2</v>
      </c>
    </row>
    <row r="20" spans="1:8" x14ac:dyDescent="0.3">
      <c r="B20">
        <v>2022</v>
      </c>
      <c r="C20">
        <v>2021</v>
      </c>
      <c r="D20" t="s">
        <v>174</v>
      </c>
    </row>
    <row r="21" spans="1:8" x14ac:dyDescent="0.3">
      <c r="A21" t="s">
        <v>31</v>
      </c>
      <c r="B21" s="28">
        <v>0.45979608745369516</v>
      </c>
      <c r="C21" s="28">
        <v>0.35259141379435061</v>
      </c>
      <c r="D21" s="28">
        <v>0.60324874657134142</v>
      </c>
    </row>
    <row r="22" spans="1:8" x14ac:dyDescent="0.3">
      <c r="A22" t="s">
        <v>32</v>
      </c>
      <c r="B22" s="28">
        <v>0.14513427351812827</v>
      </c>
      <c r="C22" s="28">
        <v>0.11590563763081116</v>
      </c>
      <c r="D22" s="28">
        <v>0.14561088523972418</v>
      </c>
      <c r="E22" s="36"/>
      <c r="F22" s="36"/>
      <c r="G22" s="36"/>
    </row>
    <row r="23" spans="1:8" x14ac:dyDescent="0.3">
      <c r="B23">
        <v>2022</v>
      </c>
      <c r="C23">
        <v>2021</v>
      </c>
      <c r="D23" t="s">
        <v>174</v>
      </c>
      <c r="E23" s="36"/>
      <c r="F23" s="36"/>
      <c r="G23" s="36"/>
      <c r="H23" s="36"/>
    </row>
    <row r="24" spans="1:8" x14ac:dyDescent="0.3">
      <c r="A24" t="s">
        <v>34</v>
      </c>
      <c r="B24">
        <v>5.1744824672581329</v>
      </c>
      <c r="C24" s="36">
        <v>13.752902155887231</v>
      </c>
      <c r="D24" s="36">
        <v>7.5652694399320026</v>
      </c>
      <c r="E24" s="36"/>
      <c r="F24" s="36"/>
      <c r="G24" s="36"/>
    </row>
    <row r="25" spans="1:8" x14ac:dyDescent="0.3">
      <c r="C25" s="36"/>
      <c r="D25" s="36"/>
      <c r="E25" s="36"/>
      <c r="F25" s="36"/>
      <c r="G25" s="36"/>
      <c r="H25" s="36"/>
    </row>
    <row r="26" spans="1:8" x14ac:dyDescent="0.3">
      <c r="B26">
        <v>2022</v>
      </c>
      <c r="C26">
        <v>2021</v>
      </c>
      <c r="D26" t="s">
        <v>174</v>
      </c>
      <c r="E26" s="36"/>
      <c r="F26" s="36"/>
      <c r="G26" s="36"/>
      <c r="H26" s="36"/>
    </row>
    <row r="27" spans="1:8" x14ac:dyDescent="0.3">
      <c r="A27" t="s">
        <v>39</v>
      </c>
      <c r="B27" s="28">
        <v>1.1638791518346421</v>
      </c>
      <c r="C27" s="28">
        <v>1.2668036411484285</v>
      </c>
      <c r="D27" s="28">
        <v>1.5625519357019115</v>
      </c>
    </row>
    <row r="28" spans="1:8" x14ac:dyDescent="0.3">
      <c r="A28" t="s">
        <v>41</v>
      </c>
      <c r="B28" s="28">
        <v>8.6160340070102173</v>
      </c>
      <c r="C28" s="28">
        <v>9.6515991849029863</v>
      </c>
      <c r="D28" s="28">
        <v>8.4347968622331209</v>
      </c>
    </row>
    <row r="31" spans="1:8" x14ac:dyDescent="0.3">
      <c r="B31">
        <v>2022</v>
      </c>
      <c r="C31">
        <v>2021</v>
      </c>
      <c r="D31" t="s">
        <v>174</v>
      </c>
    </row>
    <row r="32" spans="1:8" x14ac:dyDescent="0.3">
      <c r="A32" t="s">
        <v>175</v>
      </c>
      <c r="B32" s="25">
        <v>-1.8638346240490815E-2</v>
      </c>
      <c r="C32" s="25">
        <v>0.2413396506202756</v>
      </c>
      <c r="D32" s="25">
        <v>0.17582807255900831</v>
      </c>
    </row>
    <row r="33" spans="1:8" x14ac:dyDescent="0.3">
      <c r="A33" t="s">
        <v>176</v>
      </c>
      <c r="B33" s="25">
        <v>-1.2767773801203605E-2</v>
      </c>
      <c r="C33" s="25">
        <v>0.17842760804111471</v>
      </c>
      <c r="D33" s="25">
        <v>0.11454743423825485</v>
      </c>
    </row>
    <row r="34" spans="1:8" x14ac:dyDescent="0.3">
      <c r="A34" t="s">
        <v>177</v>
      </c>
      <c r="B34" s="33">
        <v>-5.8831793375479545E-3</v>
      </c>
      <c r="C34" s="33">
        <v>7.9334393851846041E-2</v>
      </c>
      <c r="D34" s="33">
        <v>4.5491605787781941E-2</v>
      </c>
    </row>
    <row r="35" spans="1:8" x14ac:dyDescent="0.3">
      <c r="B35">
        <v>2022</v>
      </c>
      <c r="C35">
        <v>2021</v>
      </c>
      <c r="D35" t="s">
        <v>174</v>
      </c>
      <c r="E35" s="36"/>
      <c r="F35" s="36"/>
      <c r="G35" s="36"/>
      <c r="H35" s="36"/>
    </row>
    <row r="36" spans="1:8" x14ac:dyDescent="0.3">
      <c r="A36" t="s">
        <v>45</v>
      </c>
      <c r="B36" s="36">
        <v>-0.27</v>
      </c>
      <c r="C36" s="36">
        <v>3.2404999999999999</v>
      </c>
      <c r="D36" s="36">
        <v>0.82166666666666677</v>
      </c>
      <c r="E36" s="36"/>
      <c r="F36" s="36"/>
      <c r="G36" s="36"/>
      <c r="H36" s="36"/>
    </row>
    <row r="37" spans="1:8" x14ac:dyDescent="0.3">
      <c r="C37" s="36"/>
      <c r="D37" s="36"/>
      <c r="E37" s="36"/>
      <c r="F37" s="36"/>
      <c r="G37" s="36"/>
      <c r="H37" s="3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Financial Statements</vt:lpstr>
      <vt:lpstr>List of Ratios</vt:lpstr>
      <vt:lpstr>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JAIN Tanish</cp:lastModifiedBy>
  <dcterms:created xsi:type="dcterms:W3CDTF">2020-05-19T16:15:53Z</dcterms:created>
  <dcterms:modified xsi:type="dcterms:W3CDTF">2024-02-22T17:15:16Z</dcterms:modified>
</cp:coreProperties>
</file>