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c993c1d5b7133684/Desktop/QCP Investment Analyst/"/>
    </mc:Choice>
  </mc:AlternateContent>
  <xr:revisionPtr revIDLastSave="570" documentId="11_8AF895286E3272B21E84E24CA475E31184D19F3F" xr6:coauthVersionLast="47" xr6:coauthVersionMax="47" xr10:uidLastSave="{951B2EA0-D173-45A5-8676-F83C292959EA}"/>
  <bookViews>
    <workbookView xWindow="-120" yWindow="-120" windowWidth="20730" windowHeight="11160" activeTab="2"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5" i="3" l="1"/>
  <c r="C95" i="3"/>
  <c r="D94" i="3"/>
  <c r="C94" i="3"/>
  <c r="D96" i="3"/>
  <c r="C96" i="3"/>
  <c r="D93" i="3"/>
  <c r="E93" i="3"/>
  <c r="C93" i="3"/>
  <c r="D90" i="3"/>
  <c r="E90" i="3"/>
  <c r="C90" i="3"/>
  <c r="C87" i="3"/>
  <c r="C88" i="3"/>
  <c r="C89" i="3"/>
  <c r="D87" i="3"/>
  <c r="D88" i="3"/>
  <c r="D89" i="3"/>
  <c r="E87" i="3"/>
  <c r="E88" i="3"/>
  <c r="E89" i="3"/>
  <c r="E86" i="3"/>
  <c r="D84" i="3"/>
  <c r="E84" i="3"/>
  <c r="D86" i="3"/>
  <c r="C86" i="3"/>
  <c r="C84" i="3"/>
  <c r="D83" i="3"/>
  <c r="E83" i="3"/>
  <c r="C83" i="3"/>
  <c r="C80" i="3"/>
  <c r="D80" i="3"/>
  <c r="D79" i="3"/>
  <c r="C79" i="3"/>
  <c r="C78" i="3"/>
  <c r="D78" i="3"/>
  <c r="D77" i="3"/>
  <c r="C77" i="3"/>
  <c r="D76" i="3"/>
  <c r="C76" i="3"/>
  <c r="D74" i="3"/>
  <c r="D75" i="3"/>
  <c r="C75" i="3"/>
  <c r="C74" i="3"/>
  <c r="D73" i="3"/>
  <c r="C73" i="3"/>
  <c r="C70" i="3"/>
  <c r="D70" i="3"/>
  <c r="C71" i="3"/>
  <c r="D71" i="3"/>
  <c r="D69" i="3"/>
  <c r="C69" i="3"/>
  <c r="D67" i="3"/>
  <c r="C67" i="3"/>
  <c r="D65" i="3"/>
  <c r="D66" i="3"/>
  <c r="C65" i="3"/>
  <c r="C66" i="3"/>
  <c r="D64" i="3"/>
  <c r="C64" i="3"/>
  <c r="C32" i="3" l="1"/>
  <c r="D32" i="3"/>
  <c r="C33" i="3"/>
  <c r="D33" i="3"/>
  <c r="C35" i="3"/>
  <c r="D35" i="3"/>
  <c r="C36" i="3"/>
  <c r="D36" i="3"/>
  <c r="C37" i="3"/>
  <c r="D37" i="3"/>
  <c r="D58" i="3"/>
  <c r="E58" i="3"/>
  <c r="C58" i="3"/>
  <c r="D52" i="3"/>
  <c r="D53" i="3" s="1"/>
  <c r="E52" i="3"/>
  <c r="E53" i="3" s="1"/>
  <c r="C52" i="3"/>
  <c r="C53" i="3" s="1"/>
  <c r="D51" i="3"/>
  <c r="E51" i="3"/>
  <c r="C51" i="3"/>
  <c r="D50" i="3"/>
  <c r="D49" i="3" s="1"/>
  <c r="E50" i="3"/>
  <c r="E49" i="3" s="1"/>
  <c r="C50" i="3"/>
  <c r="C49" i="3" s="1"/>
  <c r="D55" i="3"/>
  <c r="E55" i="3"/>
  <c r="C55" i="3"/>
  <c r="D54" i="3"/>
  <c r="E54" i="3"/>
  <c r="C54" i="3"/>
  <c r="D56" i="3"/>
  <c r="E56" i="3"/>
  <c r="C56" i="3"/>
  <c r="D48" i="3"/>
  <c r="E48" i="3"/>
  <c r="C48" i="3"/>
  <c r="D47" i="3"/>
  <c r="D46" i="3" s="1"/>
  <c r="E47" i="3"/>
  <c r="E46" i="3" s="1"/>
  <c r="C47" i="3"/>
  <c r="C46" i="3" s="1"/>
  <c r="D42" i="3"/>
  <c r="E42" i="3"/>
  <c r="C42" i="3"/>
  <c r="D43" i="3"/>
  <c r="E43" i="3"/>
  <c r="C43" i="3"/>
  <c r="D41" i="3"/>
  <c r="E41" i="3"/>
  <c r="C41" i="3"/>
  <c r="D40" i="3"/>
  <c r="E40" i="3"/>
  <c r="C40" i="3"/>
  <c r="C34" i="3" l="1"/>
  <c r="D34" i="3"/>
  <c r="D38" i="3" s="1"/>
  <c r="D30" i="3" s="1"/>
  <c r="C38" i="3"/>
  <c r="C30" i="3" s="1"/>
  <c r="D27" i="3"/>
  <c r="E27" i="3"/>
  <c r="C27" i="3"/>
  <c r="D26" i="3"/>
  <c r="E26" i="3"/>
  <c r="C26" i="3"/>
  <c r="D25" i="3"/>
  <c r="E25" i="3"/>
  <c r="C25" i="3"/>
  <c r="E3" i="3"/>
  <c r="D21" i="3"/>
  <c r="D28" i="3" s="1"/>
  <c r="E21" i="3"/>
  <c r="E28" i="3" s="1"/>
  <c r="C21" i="3"/>
  <c r="D19" i="3"/>
  <c r="D29" i="3" s="1"/>
  <c r="E19" i="3"/>
  <c r="E29" i="3" s="1"/>
  <c r="C19" i="3"/>
  <c r="C57" i="3" s="1"/>
  <c r="C22" i="3"/>
  <c r="D22" i="3"/>
  <c r="E22" i="3"/>
  <c r="D17" i="3"/>
  <c r="E17" i="3"/>
  <c r="C17" i="3"/>
  <c r="D13" i="3"/>
  <c r="E13" i="3"/>
  <c r="C13" i="3"/>
  <c r="D11" i="3"/>
  <c r="E11" i="3"/>
  <c r="C11" i="3"/>
  <c r="D10" i="3"/>
  <c r="E10" i="3"/>
  <c r="C10" i="3"/>
  <c r="D9" i="3"/>
  <c r="E9" i="3"/>
  <c r="C9" i="3"/>
  <c r="C8" i="3"/>
  <c r="D8" i="3"/>
  <c r="E8" i="3"/>
  <c r="D6" i="3"/>
  <c r="E6" i="3"/>
  <c r="C6" i="3"/>
  <c r="D20" i="3" l="1"/>
  <c r="D12" i="3"/>
  <c r="D18" i="3"/>
  <c r="E57" i="3"/>
  <c r="D57" i="3"/>
  <c r="E20" i="3"/>
  <c r="C12" i="3"/>
  <c r="E18" i="3"/>
  <c r="E12" i="3"/>
  <c r="C18" i="3"/>
  <c r="C29" i="3"/>
  <c r="C20" i="3"/>
  <c r="C28" i="3"/>
  <c r="D7" i="3" l="1"/>
  <c r="E7" i="3"/>
  <c r="C7" i="3"/>
  <c r="D14" i="3"/>
  <c r="E14" i="3"/>
  <c r="C14" i="3"/>
  <c r="C5" i="3"/>
  <c r="D5" i="3"/>
  <c r="E5" i="3"/>
  <c r="D108" i="1" l="1"/>
  <c r="C108" i="1"/>
  <c r="B108" i="1"/>
  <c r="D99" i="1"/>
  <c r="C99" i="1"/>
  <c r="B99" i="1"/>
  <c r="D68" i="1" l="1"/>
  <c r="C68" i="1"/>
  <c r="B68" i="1"/>
  <c r="D61" i="1"/>
  <c r="C61" i="1"/>
  <c r="B61" i="1"/>
  <c r="D56" i="1"/>
  <c r="C56" i="1"/>
  <c r="C62" i="1" s="1"/>
  <c r="B56" i="1"/>
  <c r="B62" i="1" s="1"/>
  <c r="D47" i="1"/>
  <c r="C47" i="1"/>
  <c r="B47" i="1"/>
  <c r="D42" i="1"/>
  <c r="C42" i="1"/>
  <c r="B42" i="1"/>
  <c r="B48" i="1" s="1"/>
  <c r="D17" i="1"/>
  <c r="C17" i="1"/>
  <c r="B17" i="1"/>
  <c r="D12" i="1"/>
  <c r="C12" i="1"/>
  <c r="B12" i="1"/>
  <c r="D8" i="1"/>
  <c r="D13" i="1" s="1"/>
  <c r="D18" i="1" s="1"/>
  <c r="D20" i="1" s="1"/>
  <c r="D22" i="1" s="1"/>
  <c r="D76" i="1" s="1"/>
  <c r="D91" i="1" s="1"/>
  <c r="D109" i="1" s="1"/>
  <c r="C8" i="1"/>
  <c r="C13" i="1" s="1"/>
  <c r="C18" i="1" s="1"/>
  <c r="C20" i="1" s="1"/>
  <c r="C22" i="1" s="1"/>
  <c r="C76" i="1" s="1"/>
  <c r="C91" i="1" s="1"/>
  <c r="C109" i="1" s="1"/>
  <c r="B8" i="1"/>
  <c r="D3" i="3"/>
  <c r="C3" i="3"/>
  <c r="D33" i="1"/>
  <c r="D73" i="1" s="1"/>
  <c r="C33" i="1"/>
  <c r="C73" i="1" s="1"/>
  <c r="B33" i="1"/>
  <c r="B73" i="1" s="1"/>
  <c r="B13" i="1" l="1"/>
  <c r="B18" i="1"/>
  <c r="B20" i="1" s="1"/>
  <c r="B22" i="1" s="1"/>
  <c r="B76" i="1" s="1"/>
  <c r="B91" i="1" s="1"/>
  <c r="B109" i="1" s="1"/>
  <c r="C48" i="1"/>
  <c r="D62" i="1"/>
  <c r="D69" i="1" s="1"/>
  <c r="C69" i="1"/>
  <c r="D48" i="1"/>
  <c r="B69" i="1"/>
  <c r="A54" i="3"/>
  <c r="A56" i="3" s="1"/>
  <c r="A16" i="3"/>
  <c r="A17" i="3" s="1"/>
  <c r="A18" i="3" s="1"/>
  <c r="A20" i="3" s="1"/>
  <c r="A22" i="3" s="1"/>
  <c r="A5" i="3"/>
  <c r="A6" i="3" s="1"/>
  <c r="A7" i="3" s="1"/>
  <c r="A8" i="3" s="1"/>
  <c r="A9" i="3" s="1"/>
  <c r="A10" i="3" s="1"/>
  <c r="A11" i="3" s="1"/>
  <c r="A12" i="3" s="1"/>
  <c r="A13" i="3" s="1"/>
  <c r="A24" i="3" l="1"/>
  <c r="A25" i="3" s="1"/>
  <c r="A26" i="3" s="1"/>
  <c r="A27" i="3" s="1"/>
  <c r="A28" i="3" s="1"/>
  <c r="A29" i="3" s="1"/>
  <c r="A30" i="3" s="1"/>
  <c r="A39" i="3" l="1"/>
  <c r="A45" i="3" s="1"/>
  <c r="A46" i="3" s="1"/>
  <c r="A47" i="3" s="1"/>
  <c r="A49" i="3" s="1"/>
  <c r="A50" i="3" s="1"/>
  <c r="A51" i="3" s="1"/>
  <c r="A53" i="3" s="1"/>
  <c r="A55" i="3" s="1"/>
  <c r="A57" i="3" s="1"/>
  <c r="A40" i="3" l="1"/>
  <c r="A41" i="3" s="1"/>
  <c r="A42" i="3" s="1"/>
  <c r="A43" i="3" s="1"/>
</calcChain>
</file>

<file path=xl/sharedStrings.xml><?xml version="1.0" encoding="utf-8"?>
<sst xmlns="http://schemas.openxmlformats.org/spreadsheetml/2006/main" count="229" uniqueCount="176">
  <si>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</si>
  <si>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</si>
  <si>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</si>
  <si>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</si>
  <si>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</si>
  <si>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</si>
  <si>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</si>
  <si>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</si>
  <si>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</si>
  <si>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</si>
  <si>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</si>
  <si>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</si>
  <si>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</si>
  <si>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</si>
  <si>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</si>
  <si>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</si>
  <si>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</si>
  <si>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</si>
  <si>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</si>
  <si>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</si>
  <si>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</si>
  <si>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</si>
  <si>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</si>
  <si>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</si>
  <si>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</si>
  <si>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</si>
  <si>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</si>
  <si>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</si>
  <si>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</si>
  <si>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</si>
  <si>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</si>
  <si>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</si>
  <si>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</si>
  <si>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</si>
  <si>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</si>
  <si>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</si>
  <si>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</si>
  <si>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</si>
  <si>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</si>
  <si>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</si>
  <si>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</si>
  <si>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</si>
  <si>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</si>
  <si>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</si>
  <si>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</si>
  <si>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</si>
  <si>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</si>
  <si>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</si>
  <si>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</si>
  <si>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</si>
  <si>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</si>
  <si>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</si>
  <si>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</si>
  <si>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</si>
  <si>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</si>
  <si>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</si>
  <si>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</si>
  <si>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</si>
  <si>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</si>
  <si>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</si>
  <si>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</si>
  <si>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</si>
  <si>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</si>
  <si>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</si>
  <si>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</si>
  <si>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</si>
  <si>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</si>
  <si>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</si>
  <si>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</si>
  <si>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</si>
  <si>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</si>
  <si>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</si>
  <si>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</si>
  <si>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</si>
  <si>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</si>
  <si>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</si>
  <si>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</si>
  <si>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</si>
  <si>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</si>
  <si>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</si>
  <si>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</si>
  <si>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</si>
  <si>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</si>
  <si>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</si>
  <si>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</si>
  <si>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</si>
  <si>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</si>
  <si>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</si>
  <si>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</si>
  <si>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</si>
  <si>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</si>
  <si>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</si>
  <si>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</si>
  <si>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</si>
  <si>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</si>
  <si>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</si>
  <si>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</si>
  <si>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</si>
  <si>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</si>
  <si>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</si>
  <si>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</si>
  <si>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</si>
  <si>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</si>
  <si>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</si>
  <si>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</si>
  <si>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</si>
  <si>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</si>
  <si>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</si>
  <si>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</si>
  <si>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</si>
  <si>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</si>
  <si>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</si>
  <si>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</si>
  <si>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</si>
  <si>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</si>
  <si>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</si>
  <si>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</si>
  <si>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</si>
  <si>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</si>
  <si>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</si>
  <si>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</si>
  <si>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</si>
  <si>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</si>
  <si>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</si>
  <si>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</si>
  <si>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</si>
  <si>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</si>
  <si>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</si>
  <si>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</si>
  <si>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</si>
  <si>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</si>
  <si>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</si>
  <si>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</si>
  <si>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</si>
  <si>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</si>
  <si>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</si>
  <si>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</si>
  <si>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</si>
  <si>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</si>
  <si>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</si>
  <si>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</si>
  <si>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</si>
  <si>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</si>
  <si>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</si>
  <si>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</si>
  <si>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</si>
  <si>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</si>
  <si>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</si>
  <si>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 xml:space="preserve"> (Days)</t>
  </si>
  <si>
    <t>Comments</t>
  </si>
  <si>
    <t>The interest expense was extracted from the notes to the accounts. Screenshot is beside comment.</t>
  </si>
  <si>
    <t>Gross Cashflow</t>
  </si>
  <si>
    <t>Increase/Decrease in Capital Expenditure</t>
  </si>
  <si>
    <t>Free Cashflow from Operating Activities</t>
  </si>
  <si>
    <t>Depreciation and Amortization</t>
  </si>
  <si>
    <t>(Increase)/Decrease in Current Asset</t>
  </si>
  <si>
    <t>Increase/(Decrease) in Current Liabilities</t>
  </si>
  <si>
    <t>Earnings per share (EPS) Basic</t>
  </si>
  <si>
    <t>Earnings per share (EPS) Diluted</t>
  </si>
  <si>
    <r>
      <t xml:space="preserve">Price to </t>
    </r>
    <r>
      <rPr>
        <sz val="11"/>
        <color rgb="FFFF0000"/>
        <rFont val="Calibri"/>
        <family val="2"/>
        <scheme val="minor"/>
      </rPr>
      <t>equity</t>
    </r>
    <r>
      <rPr>
        <sz val="11"/>
        <color theme="1"/>
        <rFont val="Calibri"/>
        <family val="2"/>
        <scheme val="minor"/>
      </rPr>
      <t xml:space="preserve"> (P/E)</t>
    </r>
  </si>
  <si>
    <t>Basic EPS was considered to compute P/E ratio</t>
  </si>
  <si>
    <t>Basic shares outstanding was utilized for the calculation of DPS</t>
  </si>
  <si>
    <t>Basic shares outstanding was utilized for the calculation of EV</t>
  </si>
  <si>
    <t>Basic shares outstanding was utilized for the calculation of BV</t>
  </si>
  <si>
    <t>Basic shares outstanding was utilized for the calculation of FCFE per share</t>
  </si>
  <si>
    <t>Net sales</t>
  </si>
  <si>
    <t>Sales (each category and net sales):</t>
  </si>
  <si>
    <t>Main line items of the balance sheet:</t>
  </si>
  <si>
    <t>Margins/ as a % of net sales:</t>
  </si>
  <si>
    <t>Growth rates:</t>
  </si>
  <si>
    <t>Capex</t>
  </si>
  <si>
    <t>This report considered only PPE for the purpose of computing Capex</t>
  </si>
  <si>
    <t>This report factored in only cash and cash equivalents, marketable securities and accounts receivable as it considers them as the most liquid current assets.</t>
  </si>
  <si>
    <t>This report utilized inventory figures for the year rather than the average as it is assumed Apple Inc is not affected by seasonal variations</t>
  </si>
  <si>
    <t>This report adopted the inventory for the year and did not consider the average inventory in the calculation because it is assumed that the operations of Apple Inc are not affected by seasonal variations.</t>
  </si>
  <si>
    <t>Additional Computations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</si>
</sst>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1"/>
      <color rgb="FFFF0000"/>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0" tint="-0.34998626667073579"/>
        <bgColor indexed="64"/>
      </patternFill>
    </fill>
  </fills>
  <borders count="9">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55">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64" fontId="0" fillId="0" borderId="0" xfId="1" applyFont="1"/>
    <xf numFmtId="0" fontId="0" fillId="0" borderId="0" xfId="0" applyAlignment="1">
      <alignment wrapText="1"/>
    </xf>
    <xf numFmtId="10" fontId="0" fillId="0" borderId="0" xfId="3" applyNumberFormat="1" applyFont="1"/>
    <xf numFmtId="10" fontId="0" fillId="0" borderId="0" xfId="3" applyNumberFormat="1" applyFont="1" applyAlignment="1">
      <alignment wrapText="1"/>
    </xf>
    <xf numFmtId="2" fontId="0" fillId="0" borderId="0" xfId="0" applyNumberFormat="1"/>
    <xf numFmtId="1" fontId="0" fillId="0" borderId="0" xfId="0" applyNumberFormat="1"/>
    <xf numFmtId="164" fontId="0" fillId="0" borderId="0" xfId="0" applyNumberFormat="1"/>
    <xf numFmtId="43" fontId="0" fillId="0" borderId="0" xfId="0" applyNumberFormat="1"/>
    <xf numFmtId="0" fontId="2" fillId="0" borderId="0" xfId="0" applyFont="1" applyAlignment="1">
      <alignment horizontal="center"/>
    </xf>
    <xf numFmtId="0" fontId="2" fillId="3" borderId="0" xfId="0" applyFont="1" applyFill="1" applyAlignment="1">
      <alignment horizontal="center"/>
    </xf>
    <xf numFmtId="164" fontId="9" fillId="0" borderId="5" xfId="1" applyFont="1" applyFill="1" applyBorder="1" applyAlignment="1">
      <alignment horizontal="right"/>
    </xf>
    <xf numFmtId="164" fontId="9" fillId="0" borderId="6" xfId="1" applyFont="1" applyFill="1" applyBorder="1" applyAlignment="1">
      <alignment horizontal="right"/>
    </xf>
    <xf numFmtId="164" fontId="10" fillId="0" borderId="5" xfId="1" applyFont="1" applyFill="1" applyBorder="1" applyAlignment="1">
      <alignment horizontal="right"/>
    </xf>
    <xf numFmtId="164" fontId="0" fillId="0" borderId="6" xfId="1" applyFont="1" applyFill="1" applyBorder="1"/>
    <xf numFmtId="0" fontId="9" fillId="0" borderId="5" xfId="0" applyFont="1" applyFill="1" applyBorder="1"/>
    <xf numFmtId="0" fontId="9" fillId="0" borderId="6" xfId="0" applyFont="1" applyFill="1" applyBorder="1"/>
    <xf numFmtId="0" fontId="10" fillId="0" borderId="6" xfId="0" applyFont="1" applyFill="1" applyBorder="1"/>
    <xf numFmtId="0" fontId="10" fillId="0" borderId="4" xfId="0" applyFont="1" applyFill="1" applyBorder="1"/>
    <xf numFmtId="164" fontId="10" fillId="0" borderId="7" xfId="1" applyFont="1" applyFill="1" applyBorder="1" applyAlignment="1">
      <alignment horizontal="right"/>
    </xf>
    <xf numFmtId="0" fontId="2" fillId="0" borderId="0" xfId="0" applyFont="1" applyAlignment="1">
      <alignment horizontal="left" indent="2"/>
    </xf>
    <xf numFmtId="0" fontId="0" fillId="5" borderId="5" xfId="0" applyFill="1" applyBorder="1"/>
    <xf numFmtId="0" fontId="0" fillId="5" borderId="8" xfId="0" applyFill="1" applyBorder="1"/>
    <xf numFmtId="0" fontId="0" fillId="5" borderId="6" xfId="0" applyFill="1" applyBorder="1"/>
    <xf numFmtId="0" fontId="0" fillId="5" borderId="7" xfId="0" applyFill="1" applyBorder="1"/>
    <xf numFmtId="0" fontId="0" fillId="5" borderId="0" xfId="0" applyFill="1"/>
    <xf numFmtId="10" fontId="9" fillId="0" borderId="0" xfId="3" applyNumberFormat="1" applyFont="1"/>
    <xf numFmtId="164" fontId="9" fillId="0" borderId="0" xfId="1" applyFont="1"/>
    <xf numFmtId="0" fontId="0" fillId="0" borderId="0" xfId="0" applyFont="1" applyBorder="1"/>
    <xf numFmtId="0" fontId="0" fillId="0" borderId="0" xfId="0" applyFont="1" applyBorder="1" applyAlignment="1">
      <alignment horizontal="left"/>
    </xf>
    <xf numFmtId="0" fontId="0" fillId="0" borderId="0" xfId="0" applyFont="1" applyAlignment="1">
      <alignment horizontal="left" indent="1"/>
    </xf>
    <xf numFmtId="10" fontId="0" fillId="5" borderId="0" xfId="3" applyNumberFormat="1" applyFont="1" applyFill="1"/>
    <xf numFmtId="164" fontId="0" fillId="5" borderId="0" xfId="1" applyFont="1" applyFill="1"/>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38101</xdr:colOff>
      <xdr:row>27</xdr:row>
      <xdr:rowOff>28575</xdr:rowOff>
    </xdr:from>
    <xdr:to>
      <xdr:col>15</xdr:col>
      <xdr:colOff>514351</xdr:colOff>
      <xdr:row>34</xdr:row>
      <xdr:rowOff>66675</xdr:rowOff>
    </xdr:to>
    <xdr:pic>
      <xdr:nvPicPr>
        <xdr:cNvPr id="2" name="Picture 1">
          <a:extLst>
            <a:ext uri="{FF2B5EF4-FFF2-40B4-BE49-F238E27FC236}">
              <a16:creationId xmlns:a16="http://schemas.microsoft.com/office/drawing/2014/main" id="{1EF8781D-6EA4-9D18-E6A0-B2A82FA46D80}"/>
            </a:ext>
          </a:extLst>
        </xdr:cNvPr>
        <xdr:cNvPicPr>
          <a:picLocks noChangeAspect="1"/>
        </xdr:cNvPicPr>
      </xdr:nvPicPr>
      <xdr:blipFill>
        <a:blip xmlns:r="http://schemas.openxmlformats.org/officeDocument/2006/relationships" r:embed="rId1"/>
        <a:stretch>
          <a:fillRect/>
        </a:stretch>
      </xdr:blipFill>
      <xdr:spPr>
        <a:xfrm>
          <a:off x="11563351" y="6124575"/>
          <a:ext cx="5962650" cy="1562100"/>
        </a:xfrm>
        <a:prstGeom prst="rect">
          <a:avLst/>
        </a:prstGeom>
      </xdr:spPr>
    </xdr:pic>
    <xdr:clientData/>
  </xdr:twoCellAnchor>
  <xdr:twoCellAnchor editAs="oneCell">
    <xdr:from>
      <xdr:col>5</xdr:col>
      <xdr:colOff>5610225</xdr:colOff>
      <xdr:row>44</xdr:row>
      <xdr:rowOff>171450</xdr:rowOff>
    </xdr:from>
    <xdr:to>
      <xdr:col>10</xdr:col>
      <xdr:colOff>542925</xdr:colOff>
      <xdr:row>50</xdr:row>
      <xdr:rowOff>161925</xdr:rowOff>
    </xdr:to>
    <xdr:pic>
      <xdr:nvPicPr>
        <xdr:cNvPr id="3" name="Picture 2">
          <a:extLst>
            <a:ext uri="{FF2B5EF4-FFF2-40B4-BE49-F238E27FC236}">
              <a16:creationId xmlns:a16="http://schemas.microsoft.com/office/drawing/2014/main" id="{04217696-7115-F6B8-F96A-146290D3EB5E}"/>
            </a:ext>
          </a:extLst>
        </xdr:cNvPr>
        <xdr:cNvPicPr>
          <a:picLocks noChangeAspect="1"/>
        </xdr:cNvPicPr>
      </xdr:nvPicPr>
      <xdr:blipFill>
        <a:blip xmlns:r="http://schemas.openxmlformats.org/officeDocument/2006/relationships" r:embed="rId2"/>
        <a:stretch>
          <a:fillRect/>
        </a:stretch>
      </xdr:blipFill>
      <xdr:spPr>
        <a:xfrm>
          <a:off x="12630150" y="9124950"/>
          <a:ext cx="3219450" cy="1133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opLeftCell="A14" workbookViewId="0">
      <selection activeCell="A27" sqref="A27"/>
    </sheetView>
  </sheetViews>
  <sheetFormatPr defaultRowHeight="15" x14ac:dyDescent="0.25"/>
  <cols>
    <col min="1" max="1" width="104.5703125" customWidth="1"/>
  </cols>
  <sheetData>
    <row r="1" spans="1:1" ht="23.25" x14ac:dyDescent="0.35">
      <c r="A1" s="5" t="s">
        <v>87</v>
      </c>
    </row>
    <row r="3" spans="1:1" x14ac:dyDescent="0.25">
      <c r="A3" s="7" t="s">
        <v>139</v>
      </c>
    </row>
    <row r="4" spans="1:1" x14ac:dyDescent="0.25">
      <c r="A4" s="16" t="s">
        <v>88</v>
      </c>
    </row>
    <row r="5" spans="1:1" x14ac:dyDescent="0.25">
      <c r="A5" s="7" t="s">
        <v>97</v>
      </c>
    </row>
    <row r="6" spans="1:1" x14ac:dyDescent="0.25">
      <c r="A6" s="1" t="s">
        <v>146</v>
      </c>
    </row>
    <row r="7" spans="1:1" x14ac:dyDescent="0.25">
      <c r="A7" s="1"/>
    </row>
    <row r="8" spans="1:1" x14ac:dyDescent="0.25">
      <c r="A8" s="17" t="s">
        <v>147</v>
      </c>
    </row>
    <row r="9" spans="1:1" x14ac:dyDescent="0.25">
      <c r="A9" s="1" t="s">
        <v>143</v>
      </c>
    </row>
    <row r="10" spans="1:1" x14ac:dyDescent="0.25">
      <c r="A10" s="1" t="s">
        <v>89</v>
      </c>
    </row>
    <row r="11" spans="1:1" x14ac:dyDescent="0.25">
      <c r="A11" s="1" t="s">
        <v>90</v>
      </c>
    </row>
    <row r="12" spans="1:1" x14ac:dyDescent="0.25">
      <c r="A12" s="1" t="s">
        <v>91</v>
      </c>
    </row>
    <row r="13" spans="1:1" x14ac:dyDescent="0.25">
      <c r="A13" s="1"/>
    </row>
    <row r="14" spans="1:1" x14ac:dyDescent="0.25">
      <c r="A14" s="17" t="s">
        <v>92</v>
      </c>
    </row>
    <row r="15" spans="1:1" x14ac:dyDescent="0.25">
      <c r="A15" s="1" t="s">
        <v>144</v>
      </c>
    </row>
    <row r="16" spans="1:1" x14ac:dyDescent="0.25">
      <c r="A16" s="1" t="s">
        <v>89</v>
      </c>
    </row>
    <row r="17" spans="1:1" x14ac:dyDescent="0.25">
      <c r="A17" s="1" t="s">
        <v>90</v>
      </c>
    </row>
    <row r="18" spans="1:1" x14ac:dyDescent="0.25">
      <c r="A18" s="1" t="s">
        <v>14</v>
      </c>
    </row>
    <row r="19" spans="1:1" x14ac:dyDescent="0.25">
      <c r="A19" s="1" t="s">
        <v>93</v>
      </c>
    </row>
    <row r="20" spans="1:1" x14ac:dyDescent="0.25">
      <c r="A20" s="1"/>
    </row>
    <row r="21" spans="1:1" x14ac:dyDescent="0.25">
      <c r="A21" s="17" t="s">
        <v>98</v>
      </c>
    </row>
    <row r="22" spans="1:1" x14ac:dyDescent="0.25">
      <c r="A22" s="1" t="s">
        <v>94</v>
      </c>
    </row>
    <row r="23" spans="1:1" x14ac:dyDescent="0.25">
      <c r="A23" s="1" t="s">
        <v>95</v>
      </c>
    </row>
    <row r="24" spans="1:1" x14ac:dyDescent="0.25">
      <c r="A24" s="1" t="s">
        <v>96</v>
      </c>
    </row>
    <row r="25" spans="1:1" x14ac:dyDescent="0.25">
      <c r="A25" s="1"/>
    </row>
    <row r="26" spans="1:1" x14ac:dyDescent="0.25">
      <c r="A26" s="17" t="s">
        <v>142</v>
      </c>
    </row>
    <row r="27" spans="1:1" x14ac:dyDescent="0.25">
      <c r="A27" s="16" t="s">
        <v>141</v>
      </c>
    </row>
    <row r="29" spans="1:1" x14ac:dyDescent="0.25">
      <c r="A29" s="7" t="s">
        <v>145</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topLeftCell="A81" workbookViewId="0">
      <selection activeCell="G11" sqref="G11"/>
    </sheetView>
  </sheetViews>
  <sheetFormatPr defaultRowHeight="15" x14ac:dyDescent="0.25"/>
  <cols>
    <col min="1" max="1" width="59" customWidth="1"/>
    <col min="2" max="3" width="11.5703125" bestFit="1" customWidth="1"/>
    <col min="4" max="4" width="11.7109375" bestFit="1" customWidth="1"/>
  </cols>
  <sheetData>
    <row r="1" spans="1:10" ht="60" customHeight="1" x14ac:dyDescent="0.25">
      <c r="A1" s="6" t="s">
        <v>0</v>
      </c>
      <c r="B1" s="4" t="s">
        <v>2</v>
      </c>
      <c r="C1" s="4"/>
      <c r="D1" s="4"/>
      <c r="E1" s="4"/>
      <c r="F1" s="4"/>
      <c r="G1" s="4"/>
      <c r="H1" s="4"/>
      <c r="I1" s="4"/>
      <c r="J1" s="4"/>
    </row>
    <row r="2" spans="1:10" x14ac:dyDescent="0.25">
      <c r="A2" s="32" t="s">
        <v>1</v>
      </c>
      <c r="B2" s="32"/>
      <c r="C2" s="32"/>
      <c r="D2" s="32"/>
    </row>
    <row r="3" spans="1:10" x14ac:dyDescent="0.25">
      <c r="B3" s="31" t="s">
        <v>23</v>
      </c>
      <c r="C3" s="31"/>
      <c r="D3" s="31"/>
    </row>
    <row r="4" spans="1:10" x14ac:dyDescent="0.25">
      <c r="B4" s="7">
        <v>2022</v>
      </c>
      <c r="C4" s="7">
        <v>2021</v>
      </c>
      <c r="D4" s="7">
        <v>2020</v>
      </c>
    </row>
    <row r="5" spans="1:10" x14ac:dyDescent="0.25">
      <c r="A5" t="s">
        <v>3</v>
      </c>
    </row>
    <row r="6" spans="1:10" x14ac:dyDescent="0.25">
      <c r="A6" s="1" t="s">
        <v>4</v>
      </c>
      <c r="B6" s="12">
        <v>316199</v>
      </c>
      <c r="C6" s="12">
        <v>297392</v>
      </c>
      <c r="D6" s="12">
        <v>220747</v>
      </c>
      <c r="F6" s="25"/>
    </row>
    <row r="7" spans="1:10" x14ac:dyDescent="0.25">
      <c r="A7" s="1" t="s">
        <v>5</v>
      </c>
      <c r="B7" s="12">
        <v>78129</v>
      </c>
      <c r="C7" s="12">
        <v>68425</v>
      </c>
      <c r="D7" s="12">
        <v>53768</v>
      </c>
      <c r="F7" s="25"/>
    </row>
    <row r="8" spans="1:10" x14ac:dyDescent="0.25">
      <c r="A8" s="8" t="s">
        <v>6</v>
      </c>
      <c r="B8" s="13">
        <f>+B6+B7</f>
        <v>394328</v>
      </c>
      <c r="C8" s="13">
        <f t="shared" ref="C8:D8" si="0">+C6+C7</f>
        <v>365817</v>
      </c>
      <c r="D8" s="13">
        <f t="shared" si="0"/>
        <v>274515</v>
      </c>
      <c r="F8" s="25"/>
      <c r="G8" s="25"/>
    </row>
    <row r="9" spans="1:10" x14ac:dyDescent="0.25">
      <c r="A9" t="s">
        <v>7</v>
      </c>
      <c r="B9" s="12"/>
      <c r="C9" s="12"/>
      <c r="D9" s="12"/>
    </row>
    <row r="10" spans="1:10" x14ac:dyDescent="0.25">
      <c r="A10" s="1" t="s">
        <v>4</v>
      </c>
      <c r="B10" s="12">
        <v>201471</v>
      </c>
      <c r="C10" s="12">
        <v>192266</v>
      </c>
      <c r="D10" s="12">
        <v>151286</v>
      </c>
    </row>
    <row r="11" spans="1:10" x14ac:dyDescent="0.25">
      <c r="A11" s="1" t="s">
        <v>5</v>
      </c>
      <c r="B11" s="12">
        <v>22075</v>
      </c>
      <c r="C11" s="12">
        <v>20715</v>
      </c>
      <c r="D11" s="12">
        <v>18273</v>
      </c>
    </row>
    <row r="12" spans="1:10" x14ac:dyDescent="0.25">
      <c r="A12" s="8" t="s">
        <v>8</v>
      </c>
      <c r="B12" s="13">
        <f>+B10+B11</f>
        <v>223546</v>
      </c>
      <c r="C12" s="13">
        <f t="shared" ref="C12:D12" si="1">+C10+C11</f>
        <v>212981</v>
      </c>
      <c r="D12" s="13">
        <f t="shared" si="1"/>
        <v>169559</v>
      </c>
    </row>
    <row r="13" spans="1:10" x14ac:dyDescent="0.25">
      <c r="A13" s="8" t="s">
        <v>9</v>
      </c>
      <c r="B13" s="13">
        <f>+B8-B12</f>
        <v>170782</v>
      </c>
      <c r="C13" s="13">
        <f t="shared" ref="C13:D13" si="2">+C8-C12</f>
        <v>152836</v>
      </c>
      <c r="D13" s="13">
        <f t="shared" si="2"/>
        <v>104956</v>
      </c>
    </row>
    <row r="14" spans="1:10" x14ac:dyDescent="0.25">
      <c r="A14" t="s">
        <v>10</v>
      </c>
      <c r="B14" s="12"/>
      <c r="C14" s="12"/>
      <c r="D14" s="12"/>
    </row>
    <row r="15" spans="1:10" x14ac:dyDescent="0.25">
      <c r="A15" s="1" t="s">
        <v>11</v>
      </c>
      <c r="B15" s="12">
        <v>26251</v>
      </c>
      <c r="C15" s="12">
        <v>21914</v>
      </c>
      <c r="D15" s="12">
        <v>18752</v>
      </c>
    </row>
    <row r="16" spans="1:10" x14ac:dyDescent="0.25">
      <c r="A16" s="1" t="s">
        <v>12</v>
      </c>
      <c r="B16" s="12">
        <v>25094</v>
      </c>
      <c r="C16" s="12">
        <v>21973</v>
      </c>
      <c r="D16" s="12">
        <v>19916</v>
      </c>
    </row>
    <row r="17" spans="1:9" x14ac:dyDescent="0.25">
      <c r="A17" s="8" t="s">
        <v>13</v>
      </c>
      <c r="B17" s="13">
        <f>+B15+B16</f>
        <v>51345</v>
      </c>
      <c r="C17" s="13">
        <f t="shared" ref="C17" si="3">+C15+C16</f>
        <v>43887</v>
      </c>
      <c r="D17" s="13">
        <f t="shared" ref="D17" si="4">+D15+D16</f>
        <v>38668</v>
      </c>
    </row>
    <row r="18" spans="1:9" s="7" customFormat="1" x14ac:dyDescent="0.25">
      <c r="A18" s="8" t="s">
        <v>14</v>
      </c>
      <c r="B18" s="13">
        <f>+B13-B17</f>
        <v>119437</v>
      </c>
      <c r="C18" s="13">
        <f t="shared" ref="C18:D18" si="5">+C13-C17</f>
        <v>108949</v>
      </c>
      <c r="D18" s="13">
        <f t="shared" si="5"/>
        <v>66288</v>
      </c>
    </row>
    <row r="19" spans="1:9" x14ac:dyDescent="0.25">
      <c r="A19" t="s">
        <v>15</v>
      </c>
      <c r="B19" s="12">
        <v>-334</v>
      </c>
      <c r="C19" s="12">
        <v>258</v>
      </c>
      <c r="D19" s="12">
        <v>803</v>
      </c>
    </row>
    <row r="20" spans="1:9" x14ac:dyDescent="0.25">
      <c r="A20" s="8" t="s">
        <v>16</v>
      </c>
      <c r="B20" s="13">
        <f>+B18+B19</f>
        <v>119103</v>
      </c>
      <c r="C20" s="13">
        <f t="shared" ref="C20:D20" si="6">+C18+C19</f>
        <v>109207</v>
      </c>
      <c r="D20" s="13">
        <f t="shared" si="6"/>
        <v>67091</v>
      </c>
    </row>
    <row r="21" spans="1:9" x14ac:dyDescent="0.25">
      <c r="A21" t="s">
        <v>17</v>
      </c>
      <c r="B21" s="12">
        <v>19300</v>
      </c>
      <c r="C21" s="12">
        <v>14527</v>
      </c>
      <c r="D21" s="12">
        <v>9680</v>
      </c>
      <c r="G21" s="25"/>
      <c r="H21" s="25"/>
      <c r="I21" s="25"/>
    </row>
    <row r="22" spans="1:9" ht="15.75" thickBot="1" x14ac:dyDescent="0.3">
      <c r="A22" s="9" t="s">
        <v>18</v>
      </c>
      <c r="B22" s="14">
        <f>+B20-B21</f>
        <v>99803</v>
      </c>
      <c r="C22" s="14">
        <f t="shared" ref="C22:D22" si="7">+C20-C21</f>
        <v>94680</v>
      </c>
      <c r="D22" s="14">
        <f t="shared" si="7"/>
        <v>57411</v>
      </c>
    </row>
    <row r="23" spans="1:9" ht="15.75" thickTop="1" x14ac:dyDescent="0.25">
      <c r="A23" t="s">
        <v>19</v>
      </c>
    </row>
    <row r="24" spans="1:9" x14ac:dyDescent="0.25">
      <c r="A24" s="1" t="s">
        <v>20</v>
      </c>
      <c r="B24" s="10">
        <v>6.15</v>
      </c>
      <c r="C24" s="10">
        <v>5.67</v>
      </c>
      <c r="D24" s="10">
        <v>3.31</v>
      </c>
    </row>
    <row r="25" spans="1:9" x14ac:dyDescent="0.25">
      <c r="A25" s="1" t="s">
        <v>21</v>
      </c>
      <c r="B25" s="10">
        <v>6.11</v>
      </c>
      <c r="C25" s="10">
        <v>5.61</v>
      </c>
      <c r="D25" s="10">
        <v>3.28</v>
      </c>
    </row>
    <row r="26" spans="1:9" x14ac:dyDescent="0.25">
      <c r="A26" t="s">
        <v>22</v>
      </c>
    </row>
    <row r="27" spans="1:9" x14ac:dyDescent="0.25">
      <c r="A27" s="1" t="s">
        <v>20</v>
      </c>
      <c r="B27" s="2">
        <v>16215963</v>
      </c>
      <c r="C27" s="2">
        <v>16701272</v>
      </c>
      <c r="D27" s="2">
        <v>17352119</v>
      </c>
    </row>
    <row r="28" spans="1:9" x14ac:dyDescent="0.25">
      <c r="A28" s="1" t="s">
        <v>21</v>
      </c>
      <c r="B28" s="2">
        <v>16325819</v>
      </c>
      <c r="C28" s="2">
        <v>16864919</v>
      </c>
      <c r="D28" s="2">
        <v>17528214</v>
      </c>
    </row>
    <row r="31" spans="1:9" x14ac:dyDescent="0.25">
      <c r="A31" s="32" t="s">
        <v>24</v>
      </c>
      <c r="B31" s="32"/>
      <c r="C31" s="32"/>
      <c r="D31" s="32"/>
    </row>
    <row r="32" spans="1:9" x14ac:dyDescent="0.25">
      <c r="B32" s="31" t="s">
        <v>140</v>
      </c>
      <c r="C32" s="31"/>
      <c r="D32" s="31"/>
    </row>
    <row r="33" spans="1:4" x14ac:dyDescent="0.25">
      <c r="B33" s="7">
        <f>+B4</f>
        <v>2022</v>
      </c>
      <c r="C33" s="7">
        <f t="shared" ref="C33:D33" si="8">+C4</f>
        <v>2021</v>
      </c>
      <c r="D33" s="7">
        <f t="shared" si="8"/>
        <v>2020</v>
      </c>
    </row>
    <row r="35" spans="1:4" x14ac:dyDescent="0.25">
      <c r="A35" t="s">
        <v>25</v>
      </c>
    </row>
    <row r="36" spans="1:4" x14ac:dyDescent="0.25">
      <c r="A36" s="1" t="s">
        <v>26</v>
      </c>
      <c r="B36" s="12">
        <v>23646</v>
      </c>
      <c r="C36" s="12">
        <v>34940</v>
      </c>
      <c r="D36" s="12">
        <v>38016</v>
      </c>
    </row>
    <row r="37" spans="1:4" x14ac:dyDescent="0.25">
      <c r="A37" s="1" t="s">
        <v>27</v>
      </c>
      <c r="B37" s="12">
        <v>24658</v>
      </c>
      <c r="C37" s="12">
        <v>27699</v>
      </c>
      <c r="D37" s="12">
        <v>52927</v>
      </c>
    </row>
    <row r="38" spans="1:4" x14ac:dyDescent="0.25">
      <c r="A38" s="1" t="s">
        <v>28</v>
      </c>
      <c r="B38" s="12">
        <v>28184</v>
      </c>
      <c r="C38" s="12">
        <v>26278</v>
      </c>
      <c r="D38" s="12">
        <v>16120</v>
      </c>
    </row>
    <row r="39" spans="1:4" x14ac:dyDescent="0.25">
      <c r="A39" s="1" t="s">
        <v>29</v>
      </c>
      <c r="B39" s="12">
        <v>4946</v>
      </c>
      <c r="C39" s="12">
        <v>6580</v>
      </c>
      <c r="D39" s="12">
        <v>4061</v>
      </c>
    </row>
    <row r="40" spans="1:4" x14ac:dyDescent="0.25">
      <c r="A40" s="1" t="s">
        <v>47</v>
      </c>
      <c r="B40" s="12">
        <v>32748</v>
      </c>
      <c r="C40" s="12">
        <v>25228</v>
      </c>
      <c r="D40" s="12">
        <v>21325</v>
      </c>
    </row>
    <row r="41" spans="1:4" x14ac:dyDescent="0.25">
      <c r="A41" s="1" t="s">
        <v>30</v>
      </c>
      <c r="B41" s="12">
        <v>21223</v>
      </c>
      <c r="C41" s="12">
        <v>14111</v>
      </c>
      <c r="D41" s="12">
        <v>11264</v>
      </c>
    </row>
    <row r="42" spans="1:4" x14ac:dyDescent="0.25">
      <c r="A42" s="8" t="s">
        <v>31</v>
      </c>
      <c r="B42" s="13">
        <f>+SUM(B36:B41)</f>
        <v>135405</v>
      </c>
      <c r="C42" s="13">
        <f t="shared" ref="C42:D42" si="9">+SUM(C36:C41)</f>
        <v>134836</v>
      </c>
      <c r="D42" s="13">
        <f t="shared" si="9"/>
        <v>143713</v>
      </c>
    </row>
    <row r="43" spans="1:4" x14ac:dyDescent="0.25">
      <c r="A43" t="s">
        <v>48</v>
      </c>
      <c r="B43" s="12"/>
      <c r="C43" s="12"/>
      <c r="D43" s="12"/>
    </row>
    <row r="44" spans="1:4" x14ac:dyDescent="0.25">
      <c r="A44" s="1" t="s">
        <v>27</v>
      </c>
      <c r="B44" s="12">
        <v>120805</v>
      </c>
      <c r="C44" s="12">
        <v>127877</v>
      </c>
      <c r="D44" s="12">
        <v>100887</v>
      </c>
    </row>
    <row r="45" spans="1:4" x14ac:dyDescent="0.25">
      <c r="A45" s="1" t="s">
        <v>32</v>
      </c>
      <c r="B45" s="12">
        <v>42117</v>
      </c>
      <c r="C45" s="12">
        <v>39440</v>
      </c>
      <c r="D45" s="12">
        <v>36766</v>
      </c>
    </row>
    <row r="46" spans="1:4" x14ac:dyDescent="0.25">
      <c r="A46" s="1" t="s">
        <v>49</v>
      </c>
      <c r="B46" s="12">
        <v>54428</v>
      </c>
      <c r="C46" s="12">
        <v>48849</v>
      </c>
      <c r="D46" s="12">
        <v>42522</v>
      </c>
    </row>
    <row r="47" spans="1:4" x14ac:dyDescent="0.25">
      <c r="A47" s="8" t="s">
        <v>50</v>
      </c>
      <c r="B47" s="13">
        <f>+SUM(B44:B46)</f>
        <v>217350</v>
      </c>
      <c r="C47" s="13">
        <f t="shared" ref="C47:D47" si="10">+SUM(C44:C46)</f>
        <v>216166</v>
      </c>
      <c r="D47" s="13">
        <f t="shared" si="10"/>
        <v>180175</v>
      </c>
    </row>
    <row r="48" spans="1:4" ht="15.75" thickBot="1" x14ac:dyDescent="0.3">
      <c r="A48" s="9" t="s">
        <v>33</v>
      </c>
      <c r="B48" s="14">
        <f>+B42+B47</f>
        <v>352755</v>
      </c>
      <c r="C48" s="14">
        <f t="shared" ref="C48:D48" si="11">+C42+C47</f>
        <v>351002</v>
      </c>
      <c r="D48" s="14">
        <f t="shared" si="11"/>
        <v>323888</v>
      </c>
    </row>
    <row r="49" spans="1:4" ht="15.75" thickTop="1" x14ac:dyDescent="0.25"/>
    <row r="50" spans="1:4" x14ac:dyDescent="0.25">
      <c r="A50" t="s">
        <v>34</v>
      </c>
    </row>
    <row r="51" spans="1:4" x14ac:dyDescent="0.25">
      <c r="A51" s="1" t="s">
        <v>35</v>
      </c>
      <c r="B51" s="12">
        <v>64115</v>
      </c>
      <c r="C51" s="12">
        <v>54763</v>
      </c>
      <c r="D51" s="12">
        <v>42296</v>
      </c>
    </row>
    <row r="52" spans="1:4" x14ac:dyDescent="0.25">
      <c r="A52" s="1" t="s">
        <v>36</v>
      </c>
      <c r="B52" s="12">
        <v>60845</v>
      </c>
      <c r="C52" s="12">
        <v>47493</v>
      </c>
      <c r="D52" s="12">
        <v>42684</v>
      </c>
    </row>
    <row r="53" spans="1:4" x14ac:dyDescent="0.25">
      <c r="A53" s="1" t="s">
        <v>37</v>
      </c>
      <c r="B53" s="12">
        <v>7912</v>
      </c>
      <c r="C53" s="12">
        <v>7612</v>
      </c>
      <c r="D53" s="12">
        <v>6643</v>
      </c>
    </row>
    <row r="54" spans="1:4" x14ac:dyDescent="0.25">
      <c r="A54" s="1" t="s">
        <v>38</v>
      </c>
      <c r="B54" s="12">
        <v>9982</v>
      </c>
      <c r="C54" s="12">
        <v>6000</v>
      </c>
      <c r="D54" s="12">
        <v>4996</v>
      </c>
    </row>
    <row r="55" spans="1:4" x14ac:dyDescent="0.25">
      <c r="A55" s="1" t="s">
        <v>39</v>
      </c>
      <c r="B55" s="12">
        <v>11128</v>
      </c>
      <c r="C55" s="12">
        <v>9613</v>
      </c>
      <c r="D55" s="12">
        <v>8773</v>
      </c>
    </row>
    <row r="56" spans="1:4" x14ac:dyDescent="0.25">
      <c r="A56" s="8" t="s">
        <v>40</v>
      </c>
      <c r="B56" s="13">
        <f>+SUM(B51:B55)</f>
        <v>153982</v>
      </c>
      <c r="C56" s="13">
        <f t="shared" ref="C56:D56" si="12">+SUM(C51:C55)</f>
        <v>125481</v>
      </c>
      <c r="D56" s="13">
        <f t="shared" si="12"/>
        <v>105392</v>
      </c>
    </row>
    <row r="57" spans="1:4" x14ac:dyDescent="0.25">
      <c r="A57" t="s">
        <v>51</v>
      </c>
      <c r="B57" s="12"/>
      <c r="C57" s="12"/>
      <c r="D57" s="12"/>
    </row>
    <row r="58" spans="1:4" x14ac:dyDescent="0.25">
      <c r="A58" s="1" t="s">
        <v>37</v>
      </c>
      <c r="B58" s="12"/>
      <c r="C58" s="12"/>
      <c r="D58" s="12"/>
    </row>
    <row r="59" spans="1:4" x14ac:dyDescent="0.25">
      <c r="A59" s="1" t="s">
        <v>39</v>
      </c>
      <c r="B59" s="12">
        <v>98959</v>
      </c>
      <c r="C59" s="12">
        <v>109106</v>
      </c>
      <c r="D59" s="12">
        <v>98667</v>
      </c>
    </row>
    <row r="60" spans="1:4" x14ac:dyDescent="0.25">
      <c r="A60" s="1" t="s">
        <v>52</v>
      </c>
      <c r="B60" s="12">
        <v>49142</v>
      </c>
      <c r="C60" s="12">
        <v>53325</v>
      </c>
      <c r="D60" s="12">
        <v>54490</v>
      </c>
    </row>
    <row r="61" spans="1:4" x14ac:dyDescent="0.25">
      <c r="A61" s="22" t="s">
        <v>53</v>
      </c>
      <c r="B61" s="21">
        <f>+B59+B60</f>
        <v>148101</v>
      </c>
      <c r="C61" s="21">
        <f t="shared" ref="C61:D61" si="13">+C59+C60</f>
        <v>162431</v>
      </c>
      <c r="D61" s="21">
        <f t="shared" si="13"/>
        <v>153157</v>
      </c>
    </row>
    <row r="62" spans="1:4" x14ac:dyDescent="0.25">
      <c r="A62" s="8" t="s">
        <v>41</v>
      </c>
      <c r="B62" s="13">
        <f>+B56+B61</f>
        <v>302083</v>
      </c>
      <c r="C62" s="13">
        <f t="shared" ref="C62:D62" si="14">+C56+C61</f>
        <v>287912</v>
      </c>
      <c r="D62" s="13">
        <f t="shared" si="14"/>
        <v>258549</v>
      </c>
    </row>
    <row r="63" spans="1:4" x14ac:dyDescent="0.25">
      <c r="B63" s="12"/>
      <c r="C63" s="12"/>
      <c r="D63" s="12"/>
    </row>
    <row r="64" spans="1:4" x14ac:dyDescent="0.25">
      <c r="A64" t="s">
        <v>42</v>
      </c>
      <c r="B64" s="12"/>
      <c r="C64" s="12"/>
      <c r="D64" s="12"/>
    </row>
    <row r="65" spans="1:4" x14ac:dyDescent="0.25">
      <c r="A65" s="1" t="s">
        <v>54</v>
      </c>
      <c r="B65" s="12">
        <v>64849</v>
      </c>
      <c r="C65" s="12">
        <v>57365</v>
      </c>
      <c r="D65" s="12">
        <v>50779</v>
      </c>
    </row>
    <row r="66" spans="1:4" x14ac:dyDescent="0.25">
      <c r="A66" s="1" t="s">
        <v>43</v>
      </c>
      <c r="B66" s="12">
        <v>-3068</v>
      </c>
      <c r="C66" s="12">
        <v>5562</v>
      </c>
      <c r="D66" s="12">
        <v>14966</v>
      </c>
    </row>
    <row r="67" spans="1:4" x14ac:dyDescent="0.25">
      <c r="A67" s="1" t="s">
        <v>44</v>
      </c>
      <c r="B67" s="12">
        <v>-11109</v>
      </c>
      <c r="C67" s="12">
        <v>163</v>
      </c>
      <c r="D67" s="12">
        <v>-406</v>
      </c>
    </row>
    <row r="68" spans="1:4" x14ac:dyDescent="0.25">
      <c r="A68" s="8" t="s">
        <v>45</v>
      </c>
      <c r="B68" s="13">
        <f>+SUM(B65:B67)</f>
        <v>50672</v>
      </c>
      <c r="C68" s="13">
        <f t="shared" ref="C68:D68" si="15">+SUM(C65:C67)</f>
        <v>63090</v>
      </c>
      <c r="D68" s="13">
        <f t="shared" si="15"/>
        <v>65339</v>
      </c>
    </row>
    <row r="69" spans="1:4" ht="15.75" thickBot="1" x14ac:dyDescent="0.3">
      <c r="A69" s="9" t="s">
        <v>46</v>
      </c>
      <c r="B69" s="14">
        <f>+B68+B62</f>
        <v>352755</v>
      </c>
      <c r="C69" s="14">
        <f t="shared" ref="C69:D69" si="16">+C68+C62</f>
        <v>351002</v>
      </c>
      <c r="D69" s="14">
        <f t="shared" si="16"/>
        <v>323888</v>
      </c>
    </row>
    <row r="70" spans="1:4" ht="15.75" thickTop="1" x14ac:dyDescent="0.25"/>
    <row r="71" spans="1:4" x14ac:dyDescent="0.25">
      <c r="A71" s="32" t="s">
        <v>55</v>
      </c>
      <c r="B71" s="32"/>
      <c r="C71" s="32"/>
      <c r="D71" s="32"/>
    </row>
    <row r="72" spans="1:4" x14ac:dyDescent="0.25">
      <c r="B72" s="31" t="s">
        <v>23</v>
      </c>
      <c r="C72" s="31"/>
      <c r="D72" s="31"/>
    </row>
    <row r="73" spans="1:4" x14ac:dyDescent="0.25">
      <c r="B73" s="7">
        <f>+B33</f>
        <v>2022</v>
      </c>
      <c r="C73" s="7">
        <f t="shared" ref="C73:D73" si="17">+C33</f>
        <v>2021</v>
      </c>
      <c r="D73" s="7">
        <f t="shared" si="17"/>
        <v>2020</v>
      </c>
    </row>
    <row r="75" spans="1:4" x14ac:dyDescent="0.25">
      <c r="A75" s="7" t="s">
        <v>56</v>
      </c>
      <c r="B75" s="15"/>
      <c r="C75" s="15"/>
      <c r="D75" s="15"/>
    </row>
    <row r="76" spans="1:4" x14ac:dyDescent="0.25">
      <c r="A76" t="s">
        <v>57</v>
      </c>
      <c r="B76" s="12">
        <f>+B22</f>
        <v>99803</v>
      </c>
      <c r="C76" s="12">
        <f t="shared" ref="C76:D76" si="18">+C22</f>
        <v>94680</v>
      </c>
      <c r="D76" s="12">
        <f t="shared" si="18"/>
        <v>57411</v>
      </c>
    </row>
    <row r="77" spans="1:4" x14ac:dyDescent="0.25">
      <c r="A77" s="11" t="s">
        <v>18</v>
      </c>
      <c r="B77" s="15"/>
      <c r="C77" s="15"/>
      <c r="D77" s="15"/>
    </row>
    <row r="78" spans="1:4" x14ac:dyDescent="0.25">
      <c r="A78" s="1" t="s">
        <v>58</v>
      </c>
      <c r="B78" s="12"/>
      <c r="C78" s="12"/>
      <c r="D78" s="12"/>
    </row>
    <row r="79" spans="1:4" x14ac:dyDescent="0.25">
      <c r="A79" s="3" t="s">
        <v>59</v>
      </c>
      <c r="B79" s="12">
        <v>11104</v>
      </c>
      <c r="C79" s="12">
        <v>11284</v>
      </c>
      <c r="D79" s="12">
        <v>11056</v>
      </c>
    </row>
    <row r="80" spans="1:4" x14ac:dyDescent="0.25">
      <c r="A80" s="3" t="s">
        <v>83</v>
      </c>
      <c r="B80" s="12">
        <v>9038</v>
      </c>
      <c r="C80" s="12">
        <v>7906</v>
      </c>
      <c r="D80" s="12">
        <v>6829</v>
      </c>
    </row>
    <row r="81" spans="1:4" x14ac:dyDescent="0.25">
      <c r="A81" s="3" t="s">
        <v>60</v>
      </c>
      <c r="B81" s="12">
        <v>895</v>
      </c>
      <c r="C81" s="12">
        <v>-4774</v>
      </c>
      <c r="D81" s="12">
        <v>-215</v>
      </c>
    </row>
    <row r="82" spans="1:4" x14ac:dyDescent="0.25">
      <c r="A82" s="3" t="s">
        <v>61</v>
      </c>
      <c r="B82" s="12">
        <v>111</v>
      </c>
      <c r="C82" s="12">
        <v>-147</v>
      </c>
      <c r="D82" s="12">
        <v>-97</v>
      </c>
    </row>
    <row r="83" spans="1:4" x14ac:dyDescent="0.25">
      <c r="A83" t="s">
        <v>62</v>
      </c>
      <c r="B83" s="12"/>
      <c r="C83" s="12"/>
      <c r="D83" s="12"/>
    </row>
    <row r="84" spans="1:4" x14ac:dyDescent="0.25">
      <c r="A84" s="1" t="s">
        <v>28</v>
      </c>
      <c r="B84" s="12">
        <v>-1823</v>
      </c>
      <c r="C84" s="12">
        <v>-10125</v>
      </c>
      <c r="D84" s="12">
        <v>6917</v>
      </c>
    </row>
    <row r="85" spans="1:4" x14ac:dyDescent="0.25">
      <c r="A85" s="1" t="s">
        <v>29</v>
      </c>
      <c r="B85" s="12">
        <v>1484</v>
      </c>
      <c r="C85" s="12">
        <v>-2642</v>
      </c>
      <c r="D85" s="12">
        <v>-127</v>
      </c>
    </row>
    <row r="86" spans="1:4" x14ac:dyDescent="0.25">
      <c r="A86" s="1" t="s">
        <v>47</v>
      </c>
      <c r="B86" s="12">
        <v>-7520</v>
      </c>
      <c r="C86" s="12">
        <v>-3903</v>
      </c>
      <c r="D86" s="12">
        <v>1553</v>
      </c>
    </row>
    <row r="87" spans="1:4" x14ac:dyDescent="0.25">
      <c r="A87" s="1" t="s">
        <v>84</v>
      </c>
      <c r="B87" s="12">
        <v>-6499</v>
      </c>
      <c r="C87" s="12">
        <v>-8042</v>
      </c>
      <c r="D87" s="12">
        <v>-9588</v>
      </c>
    </row>
    <row r="88" spans="1:4" x14ac:dyDescent="0.25">
      <c r="A88" s="1" t="s">
        <v>35</v>
      </c>
      <c r="B88" s="12">
        <v>9448</v>
      </c>
      <c r="C88" s="12">
        <v>12326</v>
      </c>
      <c r="D88" s="12">
        <v>-4062</v>
      </c>
    </row>
    <row r="89" spans="1:4" x14ac:dyDescent="0.25">
      <c r="A89" s="1" t="s">
        <v>37</v>
      </c>
      <c r="B89" s="12">
        <v>478</v>
      </c>
      <c r="C89" s="12">
        <v>1676</v>
      </c>
      <c r="D89" s="12">
        <v>2081</v>
      </c>
    </row>
    <row r="90" spans="1:4" x14ac:dyDescent="0.25">
      <c r="A90" s="1" t="s">
        <v>85</v>
      </c>
      <c r="B90" s="12">
        <v>5632</v>
      </c>
      <c r="C90" s="12">
        <v>5799</v>
      </c>
      <c r="D90" s="12">
        <v>8916</v>
      </c>
    </row>
    <row r="91" spans="1:4" x14ac:dyDescent="0.25">
      <c r="A91" s="8" t="s">
        <v>63</v>
      </c>
      <c r="B91" s="13">
        <f>+SUM(B76:B90)</f>
        <v>122151</v>
      </c>
      <c r="C91" s="13">
        <f t="shared" ref="C91:D91" si="19">+SUM(C76:C90)</f>
        <v>104038</v>
      </c>
      <c r="D91" s="13">
        <f t="shared" si="19"/>
        <v>80674</v>
      </c>
    </row>
    <row r="92" spans="1:4" x14ac:dyDescent="0.25">
      <c r="A92" s="7" t="s">
        <v>64</v>
      </c>
      <c r="B92" s="12"/>
      <c r="C92" s="12"/>
      <c r="D92" s="12"/>
    </row>
    <row r="93" spans="1:4" x14ac:dyDescent="0.25">
      <c r="A93" s="1" t="s">
        <v>65</v>
      </c>
      <c r="B93" s="12">
        <v>-76923</v>
      </c>
      <c r="C93" s="12">
        <v>-109558</v>
      </c>
      <c r="D93" s="12">
        <v>-114938</v>
      </c>
    </row>
    <row r="94" spans="1:4" x14ac:dyDescent="0.25">
      <c r="A94" s="1" t="s">
        <v>66</v>
      </c>
      <c r="B94" s="12">
        <v>29917</v>
      </c>
      <c r="C94" s="12">
        <v>59023</v>
      </c>
      <c r="D94" s="12">
        <v>69918</v>
      </c>
    </row>
    <row r="95" spans="1:4" x14ac:dyDescent="0.25">
      <c r="A95" s="1" t="s">
        <v>67</v>
      </c>
      <c r="B95" s="12">
        <v>37446</v>
      </c>
      <c r="C95" s="12">
        <v>47460</v>
      </c>
      <c r="D95" s="12">
        <v>50473</v>
      </c>
    </row>
    <row r="96" spans="1:4" x14ac:dyDescent="0.25">
      <c r="A96" s="1" t="s">
        <v>68</v>
      </c>
      <c r="B96" s="12">
        <v>-10708</v>
      </c>
      <c r="C96" s="12">
        <v>-11085</v>
      </c>
      <c r="D96" s="12">
        <v>-7309</v>
      </c>
    </row>
    <row r="97" spans="1:4" x14ac:dyDescent="0.25">
      <c r="A97" s="1" t="s">
        <v>69</v>
      </c>
      <c r="B97" s="12">
        <v>-306</v>
      </c>
      <c r="C97" s="12">
        <v>-33</v>
      </c>
      <c r="D97" s="12">
        <v>-1524</v>
      </c>
    </row>
    <row r="98" spans="1:4" x14ac:dyDescent="0.25">
      <c r="A98" s="1" t="s">
        <v>61</v>
      </c>
      <c r="B98" s="12">
        <v>-1780</v>
      </c>
      <c r="C98" s="12">
        <v>-352</v>
      </c>
      <c r="D98" s="12">
        <v>-909</v>
      </c>
    </row>
    <row r="99" spans="1:4" x14ac:dyDescent="0.25">
      <c r="A99" s="8" t="s">
        <v>70</v>
      </c>
      <c r="B99" s="13">
        <f>+SUM(B93:B98)</f>
        <v>-22354</v>
      </c>
      <c r="C99" s="13">
        <f t="shared" ref="C99:D99" si="20">+SUM(C93:C98)</f>
        <v>-14545</v>
      </c>
      <c r="D99" s="13">
        <f t="shared" si="20"/>
        <v>-4289</v>
      </c>
    </row>
    <row r="100" spans="1:4" x14ac:dyDescent="0.25">
      <c r="A100" s="7" t="s">
        <v>71</v>
      </c>
      <c r="B100" s="12"/>
      <c r="C100" s="12"/>
      <c r="D100" s="12"/>
    </row>
    <row r="101" spans="1:4" x14ac:dyDescent="0.25">
      <c r="A101" s="1" t="s">
        <v>86</v>
      </c>
      <c r="B101" s="12">
        <v>-6223</v>
      </c>
      <c r="C101" s="12">
        <v>-6556</v>
      </c>
      <c r="D101" s="12">
        <v>-3634</v>
      </c>
    </row>
    <row r="102" spans="1:4" x14ac:dyDescent="0.25">
      <c r="A102" s="1" t="s">
        <v>72</v>
      </c>
      <c r="B102" s="12">
        <v>-14841</v>
      </c>
      <c r="C102" s="12">
        <v>-14467</v>
      </c>
      <c r="D102" s="12">
        <v>-14081</v>
      </c>
    </row>
    <row r="103" spans="1:4" x14ac:dyDescent="0.25">
      <c r="A103" s="1" t="s">
        <v>73</v>
      </c>
      <c r="B103" s="12">
        <v>-89402</v>
      </c>
      <c r="C103" s="12">
        <v>-85971</v>
      </c>
      <c r="D103" s="12">
        <v>-72358</v>
      </c>
    </row>
    <row r="104" spans="1:4" x14ac:dyDescent="0.25">
      <c r="A104" s="1" t="s">
        <v>74</v>
      </c>
      <c r="B104" s="12">
        <v>5465</v>
      </c>
      <c r="C104" s="12">
        <v>20393</v>
      </c>
      <c r="D104" s="12">
        <v>16091</v>
      </c>
    </row>
    <row r="105" spans="1:4" x14ac:dyDescent="0.25">
      <c r="A105" s="1" t="s">
        <v>75</v>
      </c>
      <c r="B105" s="12">
        <v>-9543</v>
      </c>
      <c r="C105" s="12">
        <v>-8750</v>
      </c>
      <c r="D105" s="12">
        <v>-12629</v>
      </c>
    </row>
    <row r="106" spans="1:4" x14ac:dyDescent="0.25">
      <c r="A106" s="1" t="s">
        <v>76</v>
      </c>
      <c r="B106" s="12">
        <v>3955</v>
      </c>
      <c r="C106" s="12">
        <v>1022</v>
      </c>
      <c r="D106" s="12">
        <v>-963</v>
      </c>
    </row>
    <row r="107" spans="1:4" x14ac:dyDescent="0.25">
      <c r="A107" s="1" t="s">
        <v>61</v>
      </c>
      <c r="B107" s="12">
        <v>-160</v>
      </c>
      <c r="C107" s="12">
        <v>976</v>
      </c>
      <c r="D107" s="12">
        <v>754</v>
      </c>
    </row>
    <row r="108" spans="1:4" x14ac:dyDescent="0.25">
      <c r="A108" s="8" t="s">
        <v>77</v>
      </c>
      <c r="B108" s="13">
        <f>+SUM(B101:B107)</f>
        <v>-110749</v>
      </c>
      <c r="C108" s="13">
        <f t="shared" ref="C108:D108" si="21">+SUM(C101:C107)</f>
        <v>-93353</v>
      </c>
      <c r="D108" s="13">
        <f t="shared" si="21"/>
        <v>-86820</v>
      </c>
    </row>
    <row r="109" spans="1:4" x14ac:dyDescent="0.25">
      <c r="A109" s="8" t="s">
        <v>78</v>
      </c>
      <c r="B109" s="13">
        <f>+B91+B99+B108</f>
        <v>-10952</v>
      </c>
      <c r="C109" s="13">
        <f t="shared" ref="C109:D109" si="22">+C91+C99+C108</f>
        <v>-3860</v>
      </c>
      <c r="D109" s="13">
        <f t="shared" si="22"/>
        <v>-10435</v>
      </c>
    </row>
    <row r="110" spans="1:4" ht="15.75" thickBot="1" x14ac:dyDescent="0.3">
      <c r="A110" s="9" t="s">
        <v>79</v>
      </c>
      <c r="B110" s="14">
        <v>24977</v>
      </c>
      <c r="C110" s="14">
        <v>35929</v>
      </c>
      <c r="D110" s="14">
        <v>39789</v>
      </c>
    </row>
    <row r="111" spans="1:4" ht="15.75" thickTop="1" x14ac:dyDescent="0.25">
      <c r="B111" s="12"/>
      <c r="C111" s="12"/>
      <c r="D111" s="12"/>
    </row>
    <row r="112" spans="1:4" x14ac:dyDescent="0.25">
      <c r="A112" t="s">
        <v>80</v>
      </c>
      <c r="B112" s="12"/>
      <c r="C112" s="12"/>
      <c r="D112" s="12"/>
    </row>
    <row r="113" spans="1:4" x14ac:dyDescent="0.25">
      <c r="A113" t="s">
        <v>81</v>
      </c>
      <c r="B113" s="12">
        <v>19573</v>
      </c>
      <c r="C113" s="12">
        <v>25385</v>
      </c>
      <c r="D113" s="12">
        <v>9501</v>
      </c>
    </row>
    <row r="114" spans="1:4" x14ac:dyDescent="0.25">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6"/>
  <sheetViews>
    <sheetView tabSelected="1" topLeftCell="A48" workbookViewId="0">
      <selection activeCell="F63" sqref="F63"/>
    </sheetView>
  </sheetViews>
  <sheetFormatPr defaultRowHeight="15" x14ac:dyDescent="0.25"/>
  <cols>
    <col min="1" max="1" width="4.7109375" customWidth="1"/>
    <col min="2" max="2" width="44.85546875" customWidth="1"/>
    <col min="3" max="4" width="13.28515625" bestFit="1" customWidth="1"/>
    <col min="5" max="5" width="16.85546875" bestFit="1" customWidth="1"/>
    <col min="6" max="6" width="87.7109375" customWidth="1"/>
  </cols>
  <sheetData>
    <row r="1" spans="1:10" ht="60" customHeight="1" x14ac:dyDescent="0.4">
      <c r="A1" s="6"/>
      <c r="B1" s="20" t="s">
        <v>0</v>
      </c>
      <c r="C1" s="19"/>
      <c r="D1" s="19"/>
      <c r="E1" s="19"/>
      <c r="F1" s="19"/>
      <c r="G1" s="19"/>
      <c r="H1" s="19"/>
      <c r="I1" s="19"/>
      <c r="J1" s="19"/>
    </row>
    <row r="2" spans="1:10" x14ac:dyDescent="0.25">
      <c r="C2" s="31" t="s">
        <v>23</v>
      </c>
      <c r="D2" s="31"/>
      <c r="E2" s="31"/>
    </row>
    <row r="3" spans="1:10" x14ac:dyDescent="0.25">
      <c r="C3" s="7">
        <f>+'Financial Statements'!B4</f>
        <v>2022</v>
      </c>
      <c r="D3" s="7">
        <f>+'Financial Statements'!C4</f>
        <v>2021</v>
      </c>
      <c r="E3" s="7">
        <f>+'Financial Statements'!D4</f>
        <v>2020</v>
      </c>
      <c r="F3" s="7" t="s">
        <v>149</v>
      </c>
    </row>
    <row r="4" spans="1:10" x14ac:dyDescent="0.25">
      <c r="A4" s="18">
        <v>1</v>
      </c>
      <c r="B4" s="7" t="s">
        <v>99</v>
      </c>
    </row>
    <row r="5" spans="1:10" x14ac:dyDescent="0.25">
      <c r="A5" s="18">
        <f>+A4+0.1</f>
        <v>1.1000000000000001</v>
      </c>
      <c r="B5" s="1" t="s">
        <v>100</v>
      </c>
      <c r="C5" s="23">
        <f>'Financial Statements'!B42/'Financial Statements'!B56</f>
        <v>0.87935602862672257</v>
      </c>
      <c r="D5" s="23">
        <f>'Financial Statements'!C42/'Financial Statements'!C56</f>
        <v>1.0745531195957954</v>
      </c>
      <c r="E5" s="23">
        <f>'Financial Statements'!D42/'Financial Statements'!D56</f>
        <v>1.3636044481554577</v>
      </c>
      <c r="F5" s="24"/>
    </row>
    <row r="6" spans="1:10" ht="30" x14ac:dyDescent="0.25">
      <c r="A6" s="18">
        <f t="shared" ref="A6:A13" si="0">+A5+0.1</f>
        <v>1.2000000000000002</v>
      </c>
      <c r="B6" s="1" t="s">
        <v>101</v>
      </c>
      <c r="C6" s="29">
        <f>('Financial Statements'!B36+'Financial Statements'!B37+'Financial Statements'!B38)/'Financial Statements'!B56</f>
        <v>0.49673338442155579</v>
      </c>
      <c r="D6" s="29">
        <f>('Financial Statements'!C36+'Financial Statements'!C37+'Financial Statements'!C38)/'Financial Statements'!C56</f>
        <v>0.70860927152317876</v>
      </c>
      <c r="E6" s="29">
        <f>('Financial Statements'!D36+'Financial Statements'!D37+'Financial Statements'!D38)/'Financial Statements'!D56</f>
        <v>1.0158550933657204</v>
      </c>
      <c r="F6" s="24" t="s">
        <v>172</v>
      </c>
    </row>
    <row r="7" spans="1:10" x14ac:dyDescent="0.25">
      <c r="A7" s="18">
        <f t="shared" si="0"/>
        <v>1.3000000000000003</v>
      </c>
      <c r="B7" s="1" t="s">
        <v>102</v>
      </c>
      <c r="C7" s="29">
        <f>'Financial Statements'!B36/'Financial Statements'!B56</f>
        <v>0.15356340351469652</v>
      </c>
      <c r="D7" s="29">
        <f>'Financial Statements'!C36/'Financial Statements'!C56</f>
        <v>0.27844853005634318</v>
      </c>
      <c r="E7" s="29">
        <f>'Financial Statements'!D36/'Financial Statements'!D56</f>
        <v>0.36071049035979963</v>
      </c>
      <c r="F7" s="24"/>
    </row>
    <row r="8" spans="1:10" x14ac:dyDescent="0.25">
      <c r="A8" s="18">
        <f t="shared" si="0"/>
        <v>1.4000000000000004</v>
      </c>
      <c r="B8" s="1" t="s">
        <v>103</v>
      </c>
      <c r="C8" s="28">
        <f>(('Financial Statements'!B36+'Financial Statements'!B37+'Financial Statements'!B38)/'Financial Statements'!B17)*365</f>
        <v>543.73590417762193</v>
      </c>
      <c r="D8" s="28">
        <f>(('Financial Statements'!C36+'Financial Statements'!C37+'Financial Statements'!C38)/'Financial Statements'!C17)*365</f>
        <v>739.50611798482475</v>
      </c>
      <c r="E8" s="28">
        <f>(('Financial Statements'!D36+'Financial Statements'!D37+'Financial Statements'!D38)/'Financial Statements'!D17)*365</f>
        <v>1010.6029533464364</v>
      </c>
      <c r="F8" s="24" t="s">
        <v>148</v>
      </c>
    </row>
    <row r="9" spans="1:10" ht="45" x14ac:dyDescent="0.25">
      <c r="A9" s="18">
        <f t="shared" si="0"/>
        <v>1.5000000000000004</v>
      </c>
      <c r="B9" s="1" t="s">
        <v>104</v>
      </c>
      <c r="C9" s="28">
        <f>('Financial Statements'!B39/'Financial Statements'!B12)*365</f>
        <v>8.0756980666171607</v>
      </c>
      <c r="D9" s="28">
        <f>('Financial Statements'!C39/'Financial Statements'!C12)*365</f>
        <v>11.27659274770989</v>
      </c>
      <c r="E9" s="28">
        <f>('Financial Statements'!D39/'Financial Statements'!D12)*365</f>
        <v>8.7418833562358831</v>
      </c>
      <c r="F9" s="24" t="s">
        <v>174</v>
      </c>
    </row>
    <row r="10" spans="1:10" x14ac:dyDescent="0.25">
      <c r="A10" s="18">
        <f t="shared" si="0"/>
        <v>1.6000000000000005</v>
      </c>
      <c r="B10" s="1" t="s">
        <v>105</v>
      </c>
      <c r="C10" s="28">
        <f>('Financial Statements'!B51/'Financial Statements'!B12)*365</f>
        <v>104.68527730310539</v>
      </c>
      <c r="D10" s="28">
        <f>('Financial Statements'!C51/'Financial Statements'!C12)*365</f>
        <v>93.851071222315596</v>
      </c>
      <c r="E10" s="28">
        <f>('Financial Statements'!D51/'Financial Statements'!D12)*365</f>
        <v>91.048189715674198</v>
      </c>
      <c r="F10" s="24"/>
    </row>
    <row r="11" spans="1:10" x14ac:dyDescent="0.25">
      <c r="A11" s="18">
        <f t="shared" si="0"/>
        <v>1.7000000000000006</v>
      </c>
      <c r="B11" s="1" t="s">
        <v>106</v>
      </c>
      <c r="C11" s="28">
        <f>('Financial Statements'!B38/'Financial Statements'!B8)*365</f>
        <v>26.087825363656648</v>
      </c>
      <c r="D11" s="28">
        <f>('Financial Statements'!C38/'Financial Statements'!C8)*365</f>
        <v>26.219311841713207</v>
      </c>
      <c r="E11" s="28">
        <f>('Financial Statements'!D38/'Financial Statements'!D8)*365</f>
        <v>21.433437152796749</v>
      </c>
      <c r="F11" s="24"/>
    </row>
    <row r="12" spans="1:10" x14ac:dyDescent="0.25">
      <c r="A12" s="18">
        <f t="shared" si="0"/>
        <v>1.8000000000000007</v>
      </c>
      <c r="B12" s="1" t="s">
        <v>107</v>
      </c>
      <c r="C12" s="28">
        <f>C9+C11-C10</f>
        <v>-70.521753872831582</v>
      </c>
      <c r="D12" s="28">
        <f t="shared" ref="D12:E12" si="1">D9+D11-D10</f>
        <v>-56.355166632892498</v>
      </c>
      <c r="E12" s="28">
        <f t="shared" si="1"/>
        <v>-60.872869206641568</v>
      </c>
      <c r="F12" s="24"/>
    </row>
    <row r="13" spans="1:10" x14ac:dyDescent="0.25">
      <c r="A13" s="18">
        <f t="shared" si="0"/>
        <v>1.9000000000000008</v>
      </c>
      <c r="B13" s="1" t="s">
        <v>108</v>
      </c>
      <c r="C13" s="25">
        <f>('Financial Statements'!B42-'Financial Statements'!B56)/'Financial Statements'!B8</f>
        <v>-4.711052727678481E-2</v>
      </c>
      <c r="D13" s="25">
        <f>('Financial Statements'!C42-'Financial Statements'!C56)/'Financial Statements'!C8</f>
        <v>2.557289573748623E-2</v>
      </c>
      <c r="E13" s="25">
        <f>('Financial Statements'!D42-'Financial Statements'!D56)/'Financial Statements'!D8</f>
        <v>0.13959528623208203</v>
      </c>
      <c r="F13" s="24"/>
    </row>
    <row r="14" spans="1:10" x14ac:dyDescent="0.25">
      <c r="A14" s="18"/>
      <c r="B14" s="3" t="s">
        <v>109</v>
      </c>
      <c r="C14" s="23">
        <f>'Financial Statements'!B42-'Financial Statements'!B56</f>
        <v>-18577</v>
      </c>
      <c r="D14" s="23">
        <f>'Financial Statements'!C42-'Financial Statements'!C56</f>
        <v>9355</v>
      </c>
      <c r="E14" s="23">
        <f>'Financial Statements'!D42-'Financial Statements'!D56</f>
        <v>38321</v>
      </c>
      <c r="F14" s="26"/>
    </row>
    <row r="15" spans="1:10" x14ac:dyDescent="0.25">
      <c r="A15" s="18"/>
    </row>
    <row r="16" spans="1:10" x14ac:dyDescent="0.25">
      <c r="A16" s="18">
        <f>+A4+1</f>
        <v>2</v>
      </c>
      <c r="B16" s="17" t="s">
        <v>110</v>
      </c>
    </row>
    <row r="17" spans="1:6" x14ac:dyDescent="0.25">
      <c r="A17" s="18">
        <f>+A16+0.1</f>
        <v>2.1</v>
      </c>
      <c r="B17" s="1" t="s">
        <v>9</v>
      </c>
      <c r="C17" s="25">
        <f>'Financial Statements'!B13/'Financial Statements'!B8</f>
        <v>0.43309630561360085</v>
      </c>
      <c r="D17" s="25">
        <f>'Financial Statements'!C13/'Financial Statements'!C8</f>
        <v>0.41779359625167778</v>
      </c>
      <c r="E17" s="25">
        <f>'Financial Statements'!D13/'Financial Statements'!D8</f>
        <v>0.38233247727810865</v>
      </c>
    </row>
    <row r="18" spans="1:6" x14ac:dyDescent="0.25">
      <c r="A18" s="18">
        <f>+A17+0.1</f>
        <v>2.2000000000000002</v>
      </c>
      <c r="B18" s="1" t="s">
        <v>111</v>
      </c>
      <c r="C18" s="25">
        <f>C19/'Financial Statements'!B8</f>
        <v>0.3310467428130896</v>
      </c>
      <c r="D18" s="25">
        <f>D19/'Financial Statements'!C8</f>
        <v>0.32866979938056462</v>
      </c>
      <c r="E18" s="25">
        <f>E19/'Financial Statements'!D8</f>
        <v>0.2817478097736007</v>
      </c>
    </row>
    <row r="19" spans="1:6" x14ac:dyDescent="0.25">
      <c r="A19" s="18"/>
      <c r="B19" s="3" t="s">
        <v>112</v>
      </c>
      <c r="C19" s="23">
        <f>('Financial Statements'!B8-'Financial Statements'!B12-'Financial Statements'!B17)+'Financial Statements'!B79</f>
        <v>130541</v>
      </c>
      <c r="D19" s="23">
        <f>('Financial Statements'!C8-'Financial Statements'!C12-'Financial Statements'!C17)+'Financial Statements'!C79</f>
        <v>120233</v>
      </c>
      <c r="E19" s="23">
        <f>('Financial Statements'!D8-'Financial Statements'!D12-'Financial Statements'!D17)+'Financial Statements'!D79</f>
        <v>77344</v>
      </c>
    </row>
    <row r="20" spans="1:6" x14ac:dyDescent="0.25">
      <c r="A20" s="18">
        <f>+A18+0.1</f>
        <v>2.3000000000000003</v>
      </c>
      <c r="B20" s="1" t="s">
        <v>113</v>
      </c>
      <c r="C20" s="25">
        <f>C21/'Financial Statements'!B8</f>
        <v>0.30288744395528594</v>
      </c>
      <c r="D20" s="25">
        <f>D21/'Financial Statements'!C8</f>
        <v>0.29782377527561593</v>
      </c>
      <c r="E20" s="25">
        <f>E21/'Financial Statements'!D8</f>
        <v>0.24147314354406862</v>
      </c>
    </row>
    <row r="21" spans="1:6" x14ac:dyDescent="0.25">
      <c r="A21" s="18"/>
      <c r="B21" s="3" t="s">
        <v>114</v>
      </c>
      <c r="C21" s="23">
        <f>'Financial Statements'!B8-'Financial Statements'!B12-'Financial Statements'!B17</f>
        <v>119437</v>
      </c>
      <c r="D21" s="23">
        <f>'Financial Statements'!C8-'Financial Statements'!C12-'Financial Statements'!C17</f>
        <v>108949</v>
      </c>
      <c r="E21" s="23">
        <f>'Financial Statements'!D8-'Financial Statements'!D12-'Financial Statements'!D17</f>
        <v>66288</v>
      </c>
    </row>
    <row r="22" spans="1:6" x14ac:dyDescent="0.25">
      <c r="A22" s="18">
        <f>+A20+0.1</f>
        <v>2.4000000000000004</v>
      </c>
      <c r="B22" s="1" t="s">
        <v>115</v>
      </c>
      <c r="C22" s="25">
        <f>'Financial Statements'!B22/'Financial Statements'!B8</f>
        <v>0.25309640705199732</v>
      </c>
      <c r="D22" s="25">
        <f>'Financial Statements'!C22/'Financial Statements'!C8</f>
        <v>0.25881793355694238</v>
      </c>
      <c r="E22" s="25">
        <f>'Financial Statements'!D22/'Financial Statements'!D8</f>
        <v>0.20913611278072236</v>
      </c>
    </row>
    <row r="23" spans="1:6" x14ac:dyDescent="0.25">
      <c r="A23" s="18"/>
    </row>
    <row r="24" spans="1:6" x14ac:dyDescent="0.25">
      <c r="A24" s="18">
        <f>+A16+1</f>
        <v>3</v>
      </c>
      <c r="B24" s="7" t="s">
        <v>116</v>
      </c>
    </row>
    <row r="25" spans="1:6" x14ac:dyDescent="0.25">
      <c r="A25" s="18">
        <f>+A24+0.1</f>
        <v>3.1</v>
      </c>
      <c r="B25" s="1" t="s">
        <v>117</v>
      </c>
      <c r="C25" s="23">
        <f>'Financial Statements'!B62/'Financial Statements'!B68</f>
        <v>5.9615369434796337</v>
      </c>
      <c r="D25" s="23">
        <f>'Financial Statements'!C62/'Financial Statements'!C68</f>
        <v>4.5635124425423994</v>
      </c>
      <c r="E25" s="23">
        <f>'Financial Statements'!D62/'Financial Statements'!D68</f>
        <v>3.9570394404566951</v>
      </c>
    </row>
    <row r="26" spans="1:6" x14ac:dyDescent="0.25">
      <c r="A26" s="18">
        <f t="shared" ref="A26:A30" si="2">+A25+0.1</f>
        <v>3.2</v>
      </c>
      <c r="B26" s="1" t="s">
        <v>118</v>
      </c>
      <c r="C26" s="23">
        <f>'Financial Statements'!B62/'Financial Statements'!B48</f>
        <v>0.85635355983614692</v>
      </c>
      <c r="D26" s="23">
        <f>'Financial Statements'!C62/'Financial Statements'!C48</f>
        <v>0.82025743443057308</v>
      </c>
      <c r="E26" s="23">
        <f>'Financial Statements'!D62/'Financial Statements'!D48</f>
        <v>0.79826668477992391</v>
      </c>
    </row>
    <row r="27" spans="1:6" x14ac:dyDescent="0.25">
      <c r="A27" s="18">
        <f t="shared" si="2"/>
        <v>3.3000000000000003</v>
      </c>
      <c r="B27" s="1" t="s">
        <v>119</v>
      </c>
      <c r="C27" s="23">
        <f>'Financial Statements'!B61/('Financial Statements'!B61+'Financial Statements'!B68)</f>
        <v>0.74507604151469264</v>
      </c>
      <c r="D27" s="23">
        <f>'Financial Statements'!C61/('Financial Statements'!C61+'Financial Statements'!C68)</f>
        <v>0.72024778180302496</v>
      </c>
      <c r="E27" s="23">
        <f>'Financial Statements'!D61/('Financial Statements'!D61+'Financial Statements'!D68)</f>
        <v>0.70096020064440534</v>
      </c>
    </row>
    <row r="28" spans="1:6" ht="30" x14ac:dyDescent="0.25">
      <c r="A28" s="18">
        <f t="shared" si="2"/>
        <v>3.4000000000000004</v>
      </c>
      <c r="B28" s="1" t="s">
        <v>120</v>
      </c>
      <c r="C28" s="30">
        <f>C21/2931</f>
        <v>40.749573524394407</v>
      </c>
      <c r="D28" s="30">
        <f t="shared" ref="D28:E28" si="3">D21/2931</f>
        <v>37.171272603207093</v>
      </c>
      <c r="E28" s="30">
        <f t="shared" si="3"/>
        <v>22.616171954964177</v>
      </c>
      <c r="F28" s="24" t="s">
        <v>150</v>
      </c>
    </row>
    <row r="29" spans="1:6" x14ac:dyDescent="0.25">
      <c r="A29" s="18">
        <f t="shared" si="2"/>
        <v>3.5000000000000004</v>
      </c>
      <c r="B29" s="1" t="s">
        <v>121</v>
      </c>
      <c r="C29" s="30">
        <f>C19/'Financial Statements'!B62</f>
        <v>0.43213620097787692</v>
      </c>
      <c r="D29" s="30">
        <f>D19/'Financial Statements'!C62</f>
        <v>0.41760329545138791</v>
      </c>
      <c r="E29" s="30">
        <f>E19/'Financial Statements'!D62</f>
        <v>0.29914639004598742</v>
      </c>
    </row>
    <row r="30" spans="1:6" x14ac:dyDescent="0.25">
      <c r="A30" s="18">
        <f t="shared" si="2"/>
        <v>3.6000000000000005</v>
      </c>
      <c r="B30" s="1" t="s">
        <v>122</v>
      </c>
      <c r="C30" s="30">
        <f>(C38/'Financial Statements'!B27)*1000</f>
        <v>8.3967877825078912</v>
      </c>
      <c r="D30" s="30">
        <f>(D38/'Financial Statements'!C27)*1000</f>
        <v>7.918917792608851</v>
      </c>
      <c r="E30" s="47"/>
      <c r="F30" t="s">
        <v>164</v>
      </c>
    </row>
    <row r="31" spans="1:6" x14ac:dyDescent="0.25">
      <c r="A31" s="18"/>
      <c r="B31" s="42" t="s">
        <v>123</v>
      </c>
    </row>
    <row r="32" spans="1:6" x14ac:dyDescent="0.25">
      <c r="A32" s="18"/>
      <c r="B32" s="37" t="s">
        <v>18</v>
      </c>
      <c r="C32" s="33">
        <f>'Financial Statements'!B22</f>
        <v>99803</v>
      </c>
      <c r="D32" s="33">
        <f>'Financial Statements'!C22</f>
        <v>94680</v>
      </c>
      <c r="E32" s="43"/>
    </row>
    <row r="33" spans="1:6" x14ac:dyDescent="0.25">
      <c r="A33" s="18"/>
      <c r="B33" s="38" t="s">
        <v>154</v>
      </c>
      <c r="C33" s="34">
        <f>'Financial Statements'!B79</f>
        <v>11104</v>
      </c>
      <c r="D33" s="34">
        <f>'Financial Statements'!C79</f>
        <v>11284</v>
      </c>
      <c r="E33" s="44"/>
    </row>
    <row r="34" spans="1:6" x14ac:dyDescent="0.25">
      <c r="A34" s="18"/>
      <c r="B34" s="39" t="s">
        <v>151</v>
      </c>
      <c r="C34" s="35">
        <f>SUM(C32:C33)</f>
        <v>110907</v>
      </c>
      <c r="D34" s="35">
        <f>SUM(D32:D33)</f>
        <v>105964</v>
      </c>
      <c r="E34" s="43"/>
    </row>
    <row r="35" spans="1:6" x14ac:dyDescent="0.25">
      <c r="A35" s="18"/>
      <c r="B35" s="38" t="s">
        <v>155</v>
      </c>
      <c r="C35" s="36">
        <f>-('Financial Statements'!B42-'Financial Statements'!C42)</f>
        <v>-569</v>
      </c>
      <c r="D35" s="36">
        <f>-('Financial Statements'!C42-'Financial Statements'!D42)</f>
        <v>8877</v>
      </c>
      <c r="E35" s="45"/>
    </row>
    <row r="36" spans="1:6" x14ac:dyDescent="0.25">
      <c r="A36" s="18"/>
      <c r="B36" s="38" t="s">
        <v>156</v>
      </c>
      <c r="C36" s="34">
        <f>'Financial Statements'!B56-'Financial Statements'!C56</f>
        <v>28501</v>
      </c>
      <c r="D36" s="34">
        <f>'Financial Statements'!C56-'Financial Statements'!D56</f>
        <v>20089</v>
      </c>
      <c r="E36" s="45"/>
    </row>
    <row r="37" spans="1:6" x14ac:dyDescent="0.25">
      <c r="A37" s="18"/>
      <c r="B37" s="38" t="s">
        <v>152</v>
      </c>
      <c r="C37" s="34">
        <f>-('Financial Statements'!B45-'Financial Statements'!C45)</f>
        <v>-2677</v>
      </c>
      <c r="D37" s="34">
        <f>-('Financial Statements'!C45-'Financial Statements'!D45)</f>
        <v>-2674</v>
      </c>
      <c r="E37" s="45"/>
      <c r="F37" t="s">
        <v>171</v>
      </c>
    </row>
    <row r="38" spans="1:6" ht="15.75" thickBot="1" x14ac:dyDescent="0.3">
      <c r="A38" s="18"/>
      <c r="B38" s="40" t="s">
        <v>153</v>
      </c>
      <c r="C38" s="41">
        <f>SUM(C34:C37)</f>
        <v>136162</v>
      </c>
      <c r="D38" s="41">
        <f>SUM(D34:D37)</f>
        <v>132256</v>
      </c>
      <c r="E38" s="46"/>
    </row>
    <row r="39" spans="1:6" ht="15.75" thickTop="1" x14ac:dyDescent="0.25">
      <c r="A39" s="18">
        <f>+A24+1</f>
        <v>4</v>
      </c>
      <c r="B39" s="17" t="s">
        <v>124</v>
      </c>
    </row>
    <row r="40" spans="1:6" x14ac:dyDescent="0.25">
      <c r="A40" s="18">
        <f>+A39+0.1</f>
        <v>4.0999999999999996</v>
      </c>
      <c r="B40" s="1" t="s">
        <v>125</v>
      </c>
      <c r="C40" s="27">
        <f>'Financial Statements'!B8/'Financial Statements'!B48</f>
        <v>1.1178523337727317</v>
      </c>
      <c r="D40" s="27">
        <f>'Financial Statements'!C8/'Financial Statements'!C48</f>
        <v>1.0422077367080529</v>
      </c>
      <c r="E40" s="27">
        <f>'Financial Statements'!D8/'Financial Statements'!D48</f>
        <v>0.84756150274168851</v>
      </c>
    </row>
    <row r="41" spans="1:6" x14ac:dyDescent="0.25">
      <c r="A41" s="18">
        <f t="shared" ref="A41:A43" si="4">+A40+0.1</f>
        <v>4.1999999999999993</v>
      </c>
      <c r="B41" s="1" t="s">
        <v>126</v>
      </c>
      <c r="C41" s="27">
        <f>'Financial Statements'!B8/'Financial Statements'!B47</f>
        <v>1.8142535081665516</v>
      </c>
      <c r="D41" s="27">
        <f>'Financial Statements'!C8/'Financial Statements'!C47</f>
        <v>1.6922966608994938</v>
      </c>
      <c r="E41" s="27">
        <f>'Financial Statements'!D8/'Financial Statements'!D47</f>
        <v>1.5236020535590398</v>
      </c>
    </row>
    <row r="42" spans="1:6" ht="30" x14ac:dyDescent="0.25">
      <c r="A42" s="18">
        <f t="shared" si="4"/>
        <v>4.2999999999999989</v>
      </c>
      <c r="B42" s="1" t="s">
        <v>127</v>
      </c>
      <c r="C42" s="27">
        <f>'Financial Statements'!B12/'Financial Statements'!B39</f>
        <v>45.197331176708452</v>
      </c>
      <c r="D42" s="27">
        <f>'Financial Statements'!C12/'Financial Statements'!C39</f>
        <v>32.367933130699086</v>
      </c>
      <c r="E42" s="27">
        <f>'Financial Statements'!D12/'Financial Statements'!D39</f>
        <v>41.753016498399411</v>
      </c>
      <c r="F42" s="24" t="s">
        <v>173</v>
      </c>
    </row>
    <row r="43" spans="1:6" x14ac:dyDescent="0.25">
      <c r="A43" s="18">
        <f t="shared" si="4"/>
        <v>4.3999999999999986</v>
      </c>
      <c r="B43" s="1" t="s">
        <v>128</v>
      </c>
      <c r="C43" s="25">
        <f>'Financial Statements'!B22/'Financial Statements'!B48</f>
        <v>0.28292440929256851</v>
      </c>
      <c r="D43" s="25">
        <f>'Financial Statements'!C22/'Financial Statements'!C48</f>
        <v>0.26974205275183616</v>
      </c>
      <c r="E43" s="25">
        <f>'Financial Statements'!D22/'Financial Statements'!D48</f>
        <v>0.1772557180259843</v>
      </c>
    </row>
    <row r="44" spans="1:6" x14ac:dyDescent="0.25">
      <c r="A44" s="18"/>
    </row>
    <row r="45" spans="1:6" x14ac:dyDescent="0.25">
      <c r="A45" s="18">
        <f>+A39+1</f>
        <v>5</v>
      </c>
      <c r="B45" s="17" t="s">
        <v>129</v>
      </c>
    </row>
    <row r="46" spans="1:6" x14ac:dyDescent="0.25">
      <c r="A46" s="18">
        <f>+A45+0.1</f>
        <v>5.0999999999999996</v>
      </c>
      <c r="B46" s="1" t="s">
        <v>159</v>
      </c>
      <c r="C46" s="30">
        <f>169.12/C47</f>
        <v>27.478569407332444</v>
      </c>
      <c r="D46" s="30">
        <f t="shared" ref="D46:E46" si="5">169.12/D47</f>
        <v>29.832267856358257</v>
      </c>
      <c r="E46" s="30">
        <f t="shared" si="5"/>
        <v>51.115472039852989</v>
      </c>
      <c r="F46" t="s">
        <v>160</v>
      </c>
    </row>
    <row r="47" spans="1:6" x14ac:dyDescent="0.25">
      <c r="A47" s="18">
        <f t="shared" ref="A47:A51" si="6">+A46+0.1</f>
        <v>5.1999999999999993</v>
      </c>
      <c r="B47" s="3" t="s">
        <v>157</v>
      </c>
      <c r="C47" s="23">
        <f>('Financial Statements'!B22/'Financial Statements'!B27)*1000</f>
        <v>6.1546144376377772</v>
      </c>
      <c r="D47" s="23">
        <f>('Financial Statements'!C22/'Financial Statements'!C27)*1000</f>
        <v>5.6690292811230192</v>
      </c>
      <c r="E47" s="23">
        <f>('Financial Statements'!D22/'Financial Statements'!D27)*1000</f>
        <v>3.3085872682177895</v>
      </c>
    </row>
    <row r="48" spans="1:6" x14ac:dyDescent="0.25">
      <c r="A48" s="18"/>
      <c r="B48" s="3" t="s">
        <v>158</v>
      </c>
      <c r="C48" s="23">
        <f>('Financial Statements'!B22/'Financial Statements'!B28)*1000</f>
        <v>6.1132002014722815</v>
      </c>
      <c r="D48" s="23">
        <f>('Financial Statements'!C22/'Financial Statements'!C28)*1000</f>
        <v>5.6140204408927188</v>
      </c>
      <c r="E48" s="23">
        <f>('Financial Statements'!D22/'Financial Statements'!D28)*1000</f>
        <v>3.2753479618630852</v>
      </c>
    </row>
    <row r="49" spans="1:6" x14ac:dyDescent="0.25">
      <c r="A49" s="18">
        <f>+A47+0.1</f>
        <v>5.2999999999999989</v>
      </c>
      <c r="B49" s="1" t="s">
        <v>130</v>
      </c>
      <c r="C49" s="30">
        <f>169.12/C50</f>
        <v>54.121480552573416</v>
      </c>
      <c r="D49" s="30">
        <f t="shared" ref="D49:E49" si="7">169.12/D50</f>
        <v>44.769680149627519</v>
      </c>
      <c r="E49" s="30">
        <f t="shared" si="7"/>
        <v>44.913303926904298</v>
      </c>
    </row>
    <row r="50" spans="1:6" x14ac:dyDescent="0.25">
      <c r="A50" s="18">
        <f t="shared" si="6"/>
        <v>5.3999999999999986</v>
      </c>
      <c r="B50" s="3" t="s">
        <v>131</v>
      </c>
      <c r="C50" s="23">
        <f>('Financial Statements'!B68/'Financial Statements'!B27)*1000</f>
        <v>3.124822127430853</v>
      </c>
      <c r="D50" s="23">
        <f>('Financial Statements'!C68/'Financial Statements'!C27)*1000</f>
        <v>3.7775565837141025</v>
      </c>
      <c r="E50" s="23">
        <f>('Financial Statements'!D68/'Financial Statements'!D27)*1000</f>
        <v>3.765476712094932</v>
      </c>
      <c r="F50" t="s">
        <v>163</v>
      </c>
    </row>
    <row r="51" spans="1:6" x14ac:dyDescent="0.25">
      <c r="A51" s="18">
        <f t="shared" si="6"/>
        <v>5.4999999999999982</v>
      </c>
      <c r="B51" s="1" t="s">
        <v>132</v>
      </c>
      <c r="C51" s="48">
        <f>-'Financial Statements'!B102/'Financial Statements'!B22</f>
        <v>0.14870294480125848</v>
      </c>
      <c r="D51" s="48">
        <f>-'Financial Statements'!C102/'Financial Statements'!C22</f>
        <v>0.15279890156316012</v>
      </c>
      <c r="E51" s="48">
        <f>-'Financial Statements'!D102/'Financial Statements'!D22</f>
        <v>0.24526658654264863</v>
      </c>
    </row>
    <row r="52" spans="1:6" x14ac:dyDescent="0.25">
      <c r="A52" s="18"/>
      <c r="B52" s="3" t="s">
        <v>133</v>
      </c>
      <c r="C52" s="49">
        <f>(-'Financial Statements'!B102/'Financial Statements'!B27)*1000</f>
        <v>0.91520929099307891</v>
      </c>
      <c r="D52" s="49">
        <f>(-'Financial Statements'!C102/'Financial Statements'!C27)*1000</f>
        <v>0.86622144708498849</v>
      </c>
      <c r="E52" s="49">
        <f>(-'Financial Statements'!D102/'Financial Statements'!D27)*1000</f>
        <v>0.81148590555424382</v>
      </c>
      <c r="F52" t="s">
        <v>161</v>
      </c>
    </row>
    <row r="53" spans="1:6" x14ac:dyDescent="0.25">
      <c r="A53" s="18">
        <f>+A51+0.1</f>
        <v>5.5999999999999979</v>
      </c>
      <c r="B53" s="1" t="s">
        <v>134</v>
      </c>
      <c r="C53" s="48">
        <f>C52/169.12</f>
        <v>5.4115970375655086E-3</v>
      </c>
      <c r="D53" s="48">
        <f t="shared" ref="D53:E53" si="8">D52/169.12</f>
        <v>5.1219338167276989E-3</v>
      </c>
      <c r="E53" s="48">
        <f t="shared" si="8"/>
        <v>4.7982846827947243E-3</v>
      </c>
    </row>
    <row r="54" spans="1:6" x14ac:dyDescent="0.25">
      <c r="A54" s="18">
        <f t="shared" ref="A54:A57" si="9">+A52+0.1</f>
        <v>0.1</v>
      </c>
      <c r="B54" s="1" t="s">
        <v>135</v>
      </c>
      <c r="C54" s="25">
        <f>'Financial Statements'!B22/'Financial Statements'!B68</f>
        <v>1.9695887275023682</v>
      </c>
      <c r="D54" s="25">
        <f>'Financial Statements'!C22/'Financial Statements'!C68</f>
        <v>1.5007132667617689</v>
      </c>
      <c r="E54" s="25">
        <f>'Financial Statements'!D22/'Financial Statements'!D68</f>
        <v>0.87866358530127486</v>
      </c>
    </row>
    <row r="55" spans="1:6" x14ac:dyDescent="0.25">
      <c r="A55" s="18">
        <f t="shared" si="9"/>
        <v>5.6999999999999975</v>
      </c>
      <c r="B55" s="1" t="s">
        <v>136</v>
      </c>
      <c r="C55" s="25">
        <f>'Financial Statements'!B18/('Financial Statements'!B61+'Financial Statements'!B68)</f>
        <v>0.60087134570590572</v>
      </c>
      <c r="D55" s="25">
        <f>'Financial Statements'!C18/('Financial Statements'!C61+'Financial Statements'!C68)</f>
        <v>0.48309913489209433</v>
      </c>
      <c r="E55" s="25">
        <f>'Financial Statements'!D18/('Financial Statements'!D61+'Financial Statements'!D68)</f>
        <v>0.30338312829525482</v>
      </c>
    </row>
    <row r="56" spans="1:6" x14ac:dyDescent="0.25">
      <c r="A56" s="18">
        <f t="shared" si="9"/>
        <v>0.2</v>
      </c>
      <c r="B56" s="1" t="s">
        <v>128</v>
      </c>
      <c r="C56" s="25">
        <f>'Financial Statements'!B22/'Financial Statements'!B48</f>
        <v>0.28292440929256851</v>
      </c>
      <c r="D56" s="25">
        <f>'Financial Statements'!C22/'Financial Statements'!C48</f>
        <v>0.26974205275183616</v>
      </c>
      <c r="E56" s="25">
        <f>'Financial Statements'!D22/'Financial Statements'!D48</f>
        <v>0.1772557180259843</v>
      </c>
    </row>
    <row r="57" spans="1:6" x14ac:dyDescent="0.25">
      <c r="A57" s="18">
        <f t="shared" si="9"/>
        <v>5.7999999999999972</v>
      </c>
      <c r="B57" s="1" t="s">
        <v>137</v>
      </c>
      <c r="C57" s="23">
        <f>C58/C19</f>
        <v>23.141240396197365</v>
      </c>
      <c r="D57" s="23">
        <f t="shared" ref="D57:E57" si="10">D58/D19</f>
        <v>25.596060321542339</v>
      </c>
      <c r="E57" s="23">
        <f t="shared" si="10"/>
        <v>40.793382360364085</v>
      </c>
    </row>
    <row r="58" spans="1:6" x14ac:dyDescent="0.25">
      <c r="A58" s="18"/>
      <c r="B58" s="3" t="s">
        <v>138</v>
      </c>
      <c r="C58" s="23">
        <f>((169.12*'Financial Statements'!B27)/1000)+'Financial Statements'!B62-'Financial Statements'!B36</f>
        <v>3020880.6625600001</v>
      </c>
      <c r="D58" s="23">
        <f>((169.12*'Financial Statements'!C27)/1000)+'Financial Statements'!C62-'Financial Statements'!C36</f>
        <v>3077491.1206399999</v>
      </c>
      <c r="E58" s="23">
        <f>((169.12*'Financial Statements'!D27)/1000)+'Financial Statements'!D62-'Financial Statements'!D36</f>
        <v>3155123.36528</v>
      </c>
      <c r="F58" t="s">
        <v>162</v>
      </c>
    </row>
    <row r="60" spans="1:6" x14ac:dyDescent="0.25">
      <c r="B60" s="11" t="s">
        <v>175</v>
      </c>
      <c r="C60" s="31" t="s">
        <v>23</v>
      </c>
      <c r="D60" s="31"/>
      <c r="E60" s="31"/>
    </row>
    <row r="61" spans="1:6" x14ac:dyDescent="0.25">
      <c r="C61" s="7">
        <v>2022</v>
      </c>
      <c r="D61" s="7">
        <v>2021</v>
      </c>
      <c r="E61" s="7">
        <v>2020</v>
      </c>
    </row>
    <row r="62" spans="1:6" x14ac:dyDescent="0.25">
      <c r="B62" s="17" t="s">
        <v>169</v>
      </c>
      <c r="E62" s="23"/>
    </row>
    <row r="63" spans="1:6" x14ac:dyDescent="0.25">
      <c r="B63" s="52" t="s">
        <v>166</v>
      </c>
      <c r="E63" s="23"/>
    </row>
    <row r="64" spans="1:6" x14ac:dyDescent="0.25">
      <c r="B64" s="1" t="s">
        <v>4</v>
      </c>
      <c r="C64" s="25">
        <f>('Financial Statements'!B6-'Financial Statements'!C6)/'Financial Statements'!C6</f>
        <v>6.3239764351428418E-2</v>
      </c>
      <c r="D64" s="25">
        <f>('Financial Statements'!C6-'Financial Statements'!D6)/'Financial Statements'!D6</f>
        <v>0.34720743656765435</v>
      </c>
      <c r="E64" s="53"/>
    </row>
    <row r="65" spans="2:5" x14ac:dyDescent="0.25">
      <c r="B65" s="1" t="s">
        <v>5</v>
      </c>
      <c r="C65" s="25">
        <f>('Financial Statements'!B7-'Financial Statements'!C7)/'Financial Statements'!C7</f>
        <v>0.14181951041286078</v>
      </c>
      <c r="D65" s="25">
        <f>('Financial Statements'!C7-'Financial Statements'!D7)/'Financial Statements'!D7</f>
        <v>0.27259708376729652</v>
      </c>
      <c r="E65" s="54"/>
    </row>
    <row r="66" spans="2:5" x14ac:dyDescent="0.25">
      <c r="B66" s="1" t="s">
        <v>165</v>
      </c>
      <c r="C66" s="25">
        <f>('Financial Statements'!B8-'Financial Statements'!C8)/'Financial Statements'!C8</f>
        <v>7.7937876041846058E-2</v>
      </c>
      <c r="D66" s="25">
        <f>('Financial Statements'!C8-'Financial Statements'!D8)/'Financial Statements'!D8</f>
        <v>0.33259384733074693</v>
      </c>
      <c r="E66" s="54"/>
    </row>
    <row r="67" spans="2:5" x14ac:dyDescent="0.25">
      <c r="B67" s="1" t="s">
        <v>89</v>
      </c>
      <c r="C67" s="25">
        <f>('Financial Statements'!B13-'Financial Statements'!C13)/'Financial Statements'!C13</f>
        <v>0.11741997958596143</v>
      </c>
      <c r="D67" s="25">
        <f>('Financial Statements'!C13-'Financial Statements'!D13)/'Financial Statements'!D13</f>
        <v>0.45619116582186819</v>
      </c>
      <c r="E67" s="54"/>
    </row>
    <row r="68" spans="2:5" x14ac:dyDescent="0.25">
      <c r="B68" s="1" t="s">
        <v>10</v>
      </c>
      <c r="E68" s="47"/>
    </row>
    <row r="69" spans="2:5" x14ac:dyDescent="0.25">
      <c r="B69" s="1" t="s">
        <v>11</v>
      </c>
      <c r="C69" s="25">
        <f>('Financial Statements'!B15-'Financial Statements'!C15)/'Financial Statements'!C15</f>
        <v>0.19791001186456147</v>
      </c>
      <c r="D69" s="25">
        <f>('Financial Statements'!C15-'Financial Statements'!D15)/'Financial Statements'!D15</f>
        <v>0.16862201365187712</v>
      </c>
      <c r="E69" s="47"/>
    </row>
    <row r="70" spans="2:5" x14ac:dyDescent="0.25">
      <c r="B70" s="1" t="s">
        <v>12</v>
      </c>
      <c r="C70" s="25">
        <f>('Financial Statements'!B16-'Financial Statements'!C16)/'Financial Statements'!C16</f>
        <v>0.14203795567287125</v>
      </c>
      <c r="D70" s="25">
        <f>('Financial Statements'!C16-'Financial Statements'!D16)/'Financial Statements'!D16</f>
        <v>0.10328379192608958</v>
      </c>
      <c r="E70" s="47"/>
    </row>
    <row r="71" spans="2:5" x14ac:dyDescent="0.25">
      <c r="B71" s="50" t="s">
        <v>13</v>
      </c>
      <c r="C71" s="25">
        <f>('Financial Statements'!B17-'Financial Statements'!C17)/'Financial Statements'!C17</f>
        <v>0.16993642764372138</v>
      </c>
      <c r="D71" s="25">
        <f>('Financial Statements'!C17-'Financial Statements'!D17)/'Financial Statements'!D17</f>
        <v>0.13496948381090307</v>
      </c>
      <c r="E71" s="47"/>
    </row>
    <row r="72" spans="2:5" x14ac:dyDescent="0.25">
      <c r="B72" s="1" t="s">
        <v>167</v>
      </c>
      <c r="E72" s="47"/>
    </row>
    <row r="73" spans="2:5" x14ac:dyDescent="0.25">
      <c r="B73" s="51" t="s">
        <v>31</v>
      </c>
      <c r="C73" s="25">
        <f>('Financial Statements'!B42-'Financial Statements'!C42)/'Financial Statements'!C42</f>
        <v>4.2199412619775131E-3</v>
      </c>
      <c r="D73" s="25">
        <f>('Financial Statements'!C42-'Financial Statements'!D42)/'Financial Statements'!D42</f>
        <v>-6.176894226687913E-2</v>
      </c>
      <c r="E73" s="47"/>
    </row>
    <row r="74" spans="2:5" x14ac:dyDescent="0.25">
      <c r="B74" s="51" t="s">
        <v>50</v>
      </c>
      <c r="C74" s="25">
        <f>('Financial Statements'!B47-'Financial Statements'!C47)/'Financial Statements'!C47</f>
        <v>5.4772720964443994E-3</v>
      </c>
      <c r="D74" s="25">
        <f>('Financial Statements'!C47-'Financial Statements'!D47)/'Financial Statements'!D47</f>
        <v>0.19975579297904814</v>
      </c>
      <c r="E74" s="47"/>
    </row>
    <row r="75" spans="2:5" x14ac:dyDescent="0.25">
      <c r="B75" s="51" t="s">
        <v>33</v>
      </c>
      <c r="C75" s="25">
        <f>('Financial Statements'!B48-'Financial Statements'!C48)/'Financial Statements'!C48</f>
        <v>4.9942735369029236E-3</v>
      </c>
      <c r="D75" s="25">
        <f>('Financial Statements'!C48-'Financial Statements'!D48)/'Financial Statements'!D48</f>
        <v>8.3714123400681711E-2</v>
      </c>
      <c r="E75" s="47"/>
    </row>
    <row r="76" spans="2:5" x14ac:dyDescent="0.25">
      <c r="B76" s="51" t="s">
        <v>40</v>
      </c>
      <c r="C76" s="25">
        <f>('Financial Statements'!B56-'Financial Statements'!C56)/'Financial Statements'!C56</f>
        <v>0.22713398841258836</v>
      </c>
      <c r="D76" s="25">
        <f>('Financial Statements'!C56-'Financial Statements'!D56)/'Financial Statements'!D56</f>
        <v>0.19061219067860938</v>
      </c>
      <c r="E76" s="47"/>
    </row>
    <row r="77" spans="2:5" x14ac:dyDescent="0.25">
      <c r="B77" s="51" t="s">
        <v>53</v>
      </c>
      <c r="C77" s="25">
        <f>('Financial Statements'!B61-'Financial Statements'!C61)/'Financial Statements'!C61</f>
        <v>-8.8222075835277747E-2</v>
      </c>
      <c r="D77" s="25">
        <f>('Financial Statements'!C61-'Financial Statements'!D61)/'Financial Statements'!D61</f>
        <v>6.0552243775994566E-2</v>
      </c>
      <c r="E77" s="47"/>
    </row>
    <row r="78" spans="2:5" x14ac:dyDescent="0.25">
      <c r="B78" s="51" t="s">
        <v>41</v>
      </c>
      <c r="C78" s="25">
        <f>('Financial Statements'!B62-'Financial Statements'!C62)/'Financial Statements'!C62</f>
        <v>4.9219900525160468E-2</v>
      </c>
      <c r="D78" s="25">
        <f>('Financial Statements'!C62-'Financial Statements'!D62)/'Financial Statements'!D62</f>
        <v>0.11356841449783213</v>
      </c>
      <c r="E78" s="47"/>
    </row>
    <row r="79" spans="2:5" x14ac:dyDescent="0.25">
      <c r="B79" s="51" t="s">
        <v>45</v>
      </c>
      <c r="C79" s="25">
        <f>('Financial Statements'!B68-'Financial Statements'!C68)/'Financial Statements'!C68</f>
        <v>-0.19682992550324932</v>
      </c>
      <c r="D79" s="25">
        <f>('Financial Statements'!C68-'Financial Statements'!D68)/'Financial Statements'!D68</f>
        <v>-3.4420483937617659E-2</v>
      </c>
      <c r="E79" s="47"/>
    </row>
    <row r="80" spans="2:5" x14ac:dyDescent="0.25">
      <c r="B80" s="51" t="s">
        <v>46</v>
      </c>
      <c r="C80" s="25">
        <f>('Financial Statements'!B69-'Financial Statements'!C69)/'Financial Statements'!C69</f>
        <v>4.9942735369029236E-3</v>
      </c>
      <c r="D80" s="25">
        <f>('Financial Statements'!C69-'Financial Statements'!D69)/'Financial Statements'!D69</f>
        <v>8.3714123400681711E-2</v>
      </c>
      <c r="E80" s="47"/>
    </row>
    <row r="81" spans="2:6" x14ac:dyDescent="0.25">
      <c r="B81" s="1"/>
    </row>
    <row r="82" spans="2:6" x14ac:dyDescent="0.25">
      <c r="B82" s="17" t="s">
        <v>168</v>
      </c>
    </row>
    <row r="83" spans="2:6" x14ac:dyDescent="0.25">
      <c r="B83" s="1" t="s">
        <v>144</v>
      </c>
      <c r="C83" s="25">
        <f>'Financial Statements'!B12/'Financial Statements'!B8</f>
        <v>0.56690369438639909</v>
      </c>
      <c r="D83" s="25">
        <f>'Financial Statements'!C12/'Financial Statements'!C8</f>
        <v>0.58220640374832222</v>
      </c>
      <c r="E83" s="25">
        <f>'Financial Statements'!D12/'Financial Statements'!D8</f>
        <v>0.61766752272189129</v>
      </c>
    </row>
    <row r="84" spans="2:6" x14ac:dyDescent="0.25">
      <c r="B84" s="1" t="s">
        <v>89</v>
      </c>
      <c r="C84" s="25">
        <f>'Financial Statements'!B13/'Financial Statements'!B8</f>
        <v>0.43309630561360085</v>
      </c>
      <c r="D84" s="25">
        <f>'Financial Statements'!C13/'Financial Statements'!C8</f>
        <v>0.41779359625167778</v>
      </c>
      <c r="E84" s="25">
        <f>'Financial Statements'!D13/'Financial Statements'!D8</f>
        <v>0.38233247727810865</v>
      </c>
    </row>
    <row r="85" spans="2:6" x14ac:dyDescent="0.25">
      <c r="B85" s="1" t="s">
        <v>10</v>
      </c>
      <c r="C85" s="25"/>
      <c r="D85" s="25"/>
      <c r="E85" s="25"/>
    </row>
    <row r="86" spans="2:6" x14ac:dyDescent="0.25">
      <c r="B86" s="1" t="s">
        <v>11</v>
      </c>
      <c r="C86" s="25">
        <f>'Financial Statements'!B15/'Financial Statements'!$B$8</f>
        <v>6.657148363798665E-2</v>
      </c>
      <c r="D86" s="25">
        <f>'Financial Statements'!C15/'Financial Statements'!$C$8</f>
        <v>5.9904269074427925E-2</v>
      </c>
      <c r="E86" s="25">
        <f>'Financial Statements'!D15/'Financial Statements'!$D$8</f>
        <v>6.8309564140393061E-2</v>
      </c>
    </row>
    <row r="87" spans="2:6" x14ac:dyDescent="0.25">
      <c r="B87" s="1" t="s">
        <v>12</v>
      </c>
      <c r="C87" s="25">
        <f>'Financial Statements'!B16/'Financial Statements'!$B$8</f>
        <v>6.3637378020328261E-2</v>
      </c>
      <c r="D87" s="25">
        <f>'Financial Statements'!C16/'Financial Statements'!$C$8</f>
        <v>6.006555190163388E-2</v>
      </c>
      <c r="E87" s="25">
        <f>'Financial Statements'!D16/'Financial Statements'!$D$8</f>
        <v>7.2549769593646979E-2</v>
      </c>
    </row>
    <row r="88" spans="2:6" x14ac:dyDescent="0.25">
      <c r="B88" s="50" t="s">
        <v>13</v>
      </c>
      <c r="C88" s="25">
        <f>'Financial Statements'!B17/'Financial Statements'!$B$8</f>
        <v>0.13020886165831491</v>
      </c>
      <c r="D88" s="25">
        <f>'Financial Statements'!C17/'Financial Statements'!$C$8</f>
        <v>0.11996982097606181</v>
      </c>
      <c r="E88" s="25">
        <f>'Financial Statements'!D17/'Financial Statements'!$D$8</f>
        <v>0.14085933373404003</v>
      </c>
    </row>
    <row r="89" spans="2:6" x14ac:dyDescent="0.25">
      <c r="B89" s="1" t="s">
        <v>14</v>
      </c>
      <c r="C89" s="25">
        <f>'Financial Statements'!B18/'Financial Statements'!$B$8</f>
        <v>0.30288744395528594</v>
      </c>
      <c r="D89" s="25">
        <f>'Financial Statements'!C18/'Financial Statements'!$C$8</f>
        <v>0.29782377527561593</v>
      </c>
      <c r="E89" s="25">
        <f>'Financial Statements'!D18/'Financial Statements'!$D$8</f>
        <v>0.24147314354406862</v>
      </c>
    </row>
    <row r="90" spans="2:6" x14ac:dyDescent="0.25">
      <c r="B90" s="1" t="s">
        <v>93</v>
      </c>
      <c r="C90" s="25">
        <f>'Financial Statements'!B22/'Financial Statements'!B8</f>
        <v>0.25309640705199732</v>
      </c>
      <c r="D90" s="25">
        <f>'Financial Statements'!C22/'Financial Statements'!C8</f>
        <v>0.25881793355694238</v>
      </c>
      <c r="E90" s="25">
        <f>'Financial Statements'!D22/'Financial Statements'!D8</f>
        <v>0.20913611278072236</v>
      </c>
    </row>
    <row r="91" spans="2:6" x14ac:dyDescent="0.25">
      <c r="B91" s="1"/>
    </row>
    <row r="92" spans="2:6" x14ac:dyDescent="0.25">
      <c r="B92" s="17" t="s">
        <v>98</v>
      </c>
    </row>
    <row r="93" spans="2:6" x14ac:dyDescent="0.25">
      <c r="B93" s="1" t="s">
        <v>94</v>
      </c>
      <c r="C93" s="25">
        <f>'Financial Statements'!B21/'Financial Statements'!B20</f>
        <v>0.16204461684424407</v>
      </c>
      <c r="D93" s="25">
        <f>'Financial Statements'!C21/'Financial Statements'!C20</f>
        <v>0.13302260844085087</v>
      </c>
      <c r="E93" s="25">
        <f>'Financial Statements'!D21/'Financial Statements'!D20</f>
        <v>0.14428164731484103</v>
      </c>
    </row>
    <row r="94" spans="2:6" x14ac:dyDescent="0.25">
      <c r="B94" s="1" t="s">
        <v>95</v>
      </c>
      <c r="C94" s="25">
        <f>C96/'Financial Statements'!B8</f>
        <v>6.7887646832078879E-3</v>
      </c>
      <c r="D94" s="25">
        <f>D96/'Financial Statements'!C8</f>
        <v>7.3096657618426696E-3</v>
      </c>
      <c r="E94" s="47"/>
    </row>
    <row r="95" spans="2:6" x14ac:dyDescent="0.25">
      <c r="B95" s="1" t="s">
        <v>96</v>
      </c>
      <c r="C95" s="25">
        <f>C96/'Financial Statements'!B47</f>
        <v>1.2316540142627098E-2</v>
      </c>
      <c r="D95" s="25">
        <f>D96/'Financial Statements'!C47</f>
        <v>1.2370122961057706E-2</v>
      </c>
      <c r="E95" s="47"/>
    </row>
    <row r="96" spans="2:6" x14ac:dyDescent="0.25">
      <c r="B96" s="1" t="s">
        <v>170</v>
      </c>
      <c r="C96" s="23">
        <f>'Financial Statements'!B45-'Financial Statements'!C45</f>
        <v>2677</v>
      </c>
      <c r="D96" s="23">
        <f>'Financial Statements'!C45-'Financial Statements'!D45</f>
        <v>2674</v>
      </c>
      <c r="E96" s="47"/>
      <c r="F96" t="s">
        <v>171</v>
      </c>
    </row>
  </sheetData>
  <mergeCells count="2">
    <mergeCell ref="C2:E2"/>
    <mergeCell ref="C60:E60"/>
  </mergeCells>
  <pageMargins left="0.7" right="0.7" top="0.75" bottom="0.75" header="0.3" footer="0.3"/>
  <ignoredErrors>
    <ignoredError sqref="C19:E19"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GODWIN BASSEY</cp:lastModifiedBy>
  <dcterms:created xsi:type="dcterms:W3CDTF">2020-05-18T16:32:37Z</dcterms:created>
  <dcterms:modified xsi:type="dcterms:W3CDTF">2024-03-07T11:31:44Z</dcterms:modified>
</cp:coreProperties>
</file>