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D:\SynologyDrive\Jobs\September 2023 Job Applications\Banking\Venture Capital Careers Jobsite\Trainee Investment Analyst - Quill Capital Partners\Level 1\Task 1 - Ratio Calculations\"/>
    </mc:Choice>
  </mc:AlternateContent>
  <xr:revisionPtr revIDLastSave="0" documentId="8_{ABC13C36-5B25-487F-A0E8-2AB8D92E534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structions" sheetId="2" r:id="rId1"/>
    <sheet name="Financial Statements" sheetId="1" r:id="rId2"/>
    <sheet name="List of Ratios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0" i="3" l="1"/>
  <c r="D30" i="3"/>
  <c r="E30" i="3"/>
  <c r="D95" i="3"/>
  <c r="E95" i="3"/>
  <c r="C95" i="3"/>
  <c r="E75" i="3"/>
  <c r="E76" i="3"/>
  <c r="E77" i="3"/>
  <c r="E78" i="3"/>
  <c r="E79" i="3"/>
  <c r="E80" i="3"/>
  <c r="E81" i="3"/>
  <c r="E83" i="3"/>
  <c r="E84" i="3"/>
  <c r="E85" i="3"/>
  <c r="E65" i="3"/>
  <c r="E66" i="3"/>
  <c r="E67" i="3"/>
  <c r="E68" i="3"/>
  <c r="E69" i="3"/>
  <c r="E70" i="3"/>
  <c r="E71" i="3"/>
  <c r="E72" i="3"/>
  <c r="E73" i="3"/>
  <c r="E57" i="3"/>
  <c r="E58" i="3"/>
  <c r="E59" i="3"/>
  <c r="E60" i="3"/>
  <c r="E61" i="3"/>
  <c r="E62" i="3"/>
  <c r="C49" i="3"/>
  <c r="D49" i="3"/>
  <c r="E49" i="3"/>
  <c r="C51" i="3"/>
  <c r="D51" i="3"/>
  <c r="E51" i="3"/>
  <c r="B119" i="1"/>
  <c r="C119" i="1"/>
  <c r="D119" i="1"/>
  <c r="C40" i="3"/>
  <c r="D40" i="3"/>
  <c r="E40" i="3"/>
  <c r="C41" i="3"/>
  <c r="D41" i="3"/>
  <c r="E41" i="3"/>
  <c r="C45" i="3"/>
  <c r="D45" i="3"/>
  <c r="E45" i="3"/>
  <c r="C42" i="3"/>
  <c r="D42" i="3"/>
  <c r="E42" i="3"/>
  <c r="C43" i="3"/>
  <c r="D43" i="3"/>
  <c r="E43" i="3"/>
  <c r="C44" i="3"/>
  <c r="D44" i="3"/>
  <c r="E44" i="3"/>
  <c r="C46" i="3"/>
  <c r="D46" i="3"/>
  <c r="E46" i="3"/>
  <c r="C47" i="3"/>
  <c r="D47" i="3"/>
  <c r="E47" i="3"/>
  <c r="C31" i="3"/>
  <c r="D31" i="3"/>
  <c r="E31" i="3"/>
  <c r="C29" i="3"/>
  <c r="D29" i="3"/>
  <c r="E29" i="3"/>
  <c r="D28" i="3"/>
  <c r="C27" i="3"/>
  <c r="D27" i="3"/>
  <c r="E27" i="3"/>
  <c r="C26" i="3"/>
  <c r="D26" i="3"/>
  <c r="E26" i="3"/>
  <c r="C25" i="3"/>
  <c r="D25" i="3"/>
  <c r="E25" i="3"/>
  <c r="C37" i="3"/>
  <c r="D37" i="3"/>
  <c r="E37" i="3"/>
  <c r="E34" i="3"/>
  <c r="E35" i="3"/>
  <c r="E9" i="3"/>
  <c r="X9" i="3" s="1"/>
  <c r="E76" i="1"/>
  <c r="E91" i="1"/>
  <c r="E99" i="1"/>
  <c r="E108" i="1"/>
  <c r="E42" i="1"/>
  <c r="E47" i="1"/>
  <c r="E56" i="1"/>
  <c r="E61" i="1"/>
  <c r="E68" i="1"/>
  <c r="E8" i="1"/>
  <c r="E12" i="1"/>
  <c r="E17" i="1"/>
  <c r="C34" i="3"/>
  <c r="D34" i="3"/>
  <c r="C35" i="3"/>
  <c r="D35" i="3"/>
  <c r="C22" i="3"/>
  <c r="D22" i="3"/>
  <c r="E22" i="3"/>
  <c r="D18" i="3"/>
  <c r="E20" i="3"/>
  <c r="D19" i="3"/>
  <c r="C21" i="3"/>
  <c r="C48" i="3" s="1"/>
  <c r="D21" i="3"/>
  <c r="D48" i="3" s="1"/>
  <c r="E21" i="3"/>
  <c r="E48" i="3" s="1"/>
  <c r="J99" i="1"/>
  <c r="K99" i="1"/>
  <c r="L99" i="1"/>
  <c r="J97" i="1"/>
  <c r="K97" i="1"/>
  <c r="L97" i="1"/>
  <c r="C17" i="3"/>
  <c r="D17" i="3"/>
  <c r="E17" i="3"/>
  <c r="E11" i="3"/>
  <c r="K93" i="1"/>
  <c r="C11" i="3"/>
  <c r="V10" i="3" s="1"/>
  <c r="D11" i="3"/>
  <c r="W10" i="3" s="1"/>
  <c r="E10" i="3"/>
  <c r="X11" i="3" s="1"/>
  <c r="K91" i="1"/>
  <c r="C10" i="3"/>
  <c r="V11" i="3" s="1"/>
  <c r="D10" i="3"/>
  <c r="K89" i="1"/>
  <c r="C9" i="3"/>
  <c r="C36" i="3" s="1"/>
  <c r="D9" i="3"/>
  <c r="W9" i="3" s="1"/>
  <c r="W11" i="3"/>
  <c r="X10" i="3"/>
  <c r="C14" i="3"/>
  <c r="C13" i="3" s="1"/>
  <c r="D14" i="3"/>
  <c r="D13" i="3" s="1"/>
  <c r="E14" i="3"/>
  <c r="E13" i="3" s="1"/>
  <c r="C8" i="3"/>
  <c r="D8" i="3"/>
  <c r="E8" i="3"/>
  <c r="C7" i="3"/>
  <c r="D7" i="3"/>
  <c r="E7" i="3"/>
  <c r="C6" i="3"/>
  <c r="D6" i="3"/>
  <c r="E6" i="3"/>
  <c r="C5" i="3"/>
  <c r="D5" i="3"/>
  <c r="E5" i="3"/>
  <c r="C62" i="3"/>
  <c r="D62" i="3"/>
  <c r="C61" i="3"/>
  <c r="D61" i="3"/>
  <c r="C60" i="3"/>
  <c r="D60" i="3"/>
  <c r="C58" i="3"/>
  <c r="D58" i="3"/>
  <c r="C59" i="3"/>
  <c r="D59" i="3"/>
  <c r="C57" i="3"/>
  <c r="D57" i="3"/>
  <c r="C85" i="3"/>
  <c r="D85" i="3"/>
  <c r="C84" i="3"/>
  <c r="D84" i="3"/>
  <c r="C83" i="3"/>
  <c r="D83" i="3"/>
  <c r="C81" i="3"/>
  <c r="D81" i="3"/>
  <c r="C80" i="3"/>
  <c r="D80" i="3"/>
  <c r="C76" i="3"/>
  <c r="D76" i="3"/>
  <c r="C77" i="3"/>
  <c r="D77" i="3"/>
  <c r="C78" i="3"/>
  <c r="D78" i="3"/>
  <c r="C79" i="3"/>
  <c r="D79" i="3"/>
  <c r="C75" i="3"/>
  <c r="D75" i="3"/>
  <c r="C72" i="3"/>
  <c r="D72" i="3"/>
  <c r="C73" i="3"/>
  <c r="D73" i="3"/>
  <c r="C71" i="3"/>
  <c r="D71" i="3"/>
  <c r="C66" i="3"/>
  <c r="D66" i="3"/>
  <c r="C67" i="3"/>
  <c r="D67" i="3"/>
  <c r="C68" i="3"/>
  <c r="D68" i="3"/>
  <c r="C69" i="3"/>
  <c r="D69" i="3"/>
  <c r="C70" i="3"/>
  <c r="D70" i="3"/>
  <c r="C65" i="3"/>
  <c r="D65" i="3"/>
  <c r="C96" i="3"/>
  <c r="D96" i="3"/>
  <c r="E96" i="3"/>
  <c r="C97" i="3"/>
  <c r="D97" i="3"/>
  <c r="E97" i="3"/>
  <c r="C88" i="3"/>
  <c r="D88" i="3"/>
  <c r="E88" i="3"/>
  <c r="C90" i="3"/>
  <c r="D90" i="3"/>
  <c r="E90" i="3"/>
  <c r="C91" i="3"/>
  <c r="D91" i="3"/>
  <c r="E91" i="3"/>
  <c r="C92" i="3"/>
  <c r="D92" i="3"/>
  <c r="E92" i="3"/>
  <c r="C93" i="3"/>
  <c r="D93" i="3"/>
  <c r="E93" i="3"/>
  <c r="C89" i="3"/>
  <c r="D89" i="3"/>
  <c r="E89" i="3"/>
  <c r="D108" i="1"/>
  <c r="C108" i="1"/>
  <c r="B108" i="1"/>
  <c r="D99" i="1"/>
  <c r="C99" i="1"/>
  <c r="B99" i="1"/>
  <c r="D50" i="3" l="1"/>
  <c r="D20" i="3"/>
  <c r="C20" i="3"/>
  <c r="E36" i="3"/>
  <c r="V9" i="3"/>
  <c r="E28" i="3"/>
  <c r="E19" i="3"/>
  <c r="D36" i="3"/>
  <c r="C28" i="3"/>
  <c r="C19" i="3"/>
  <c r="E109" i="1"/>
  <c r="E62" i="1"/>
  <c r="E69" i="1"/>
  <c r="E48" i="1"/>
  <c r="E13" i="1"/>
  <c r="E18" i="1" s="1"/>
  <c r="E20" i="1" s="1"/>
  <c r="E22" i="1" s="1"/>
  <c r="X13" i="3"/>
  <c r="E12" i="3" s="1"/>
  <c r="V13" i="3"/>
  <c r="C12" i="3" s="1"/>
  <c r="W13" i="3"/>
  <c r="D12" i="3" s="1"/>
  <c r="D68" i="1"/>
  <c r="C68" i="1"/>
  <c r="B68" i="1"/>
  <c r="D61" i="1"/>
  <c r="C61" i="1"/>
  <c r="B61" i="1"/>
  <c r="D56" i="1"/>
  <c r="C56" i="1"/>
  <c r="C62" i="1" s="1"/>
  <c r="B56" i="1"/>
  <c r="B48" i="1"/>
  <c r="D47" i="1"/>
  <c r="C47" i="1"/>
  <c r="B47" i="1"/>
  <c r="D42" i="1"/>
  <c r="C42" i="1"/>
  <c r="B42" i="1"/>
  <c r="D17" i="1"/>
  <c r="C17" i="1"/>
  <c r="B17" i="1"/>
  <c r="D13" i="1"/>
  <c r="D18" i="1" s="1"/>
  <c r="D20" i="1" s="1"/>
  <c r="D22" i="1" s="1"/>
  <c r="D76" i="1" s="1"/>
  <c r="D91" i="1" s="1"/>
  <c r="D109" i="1" s="1"/>
  <c r="D12" i="1"/>
  <c r="C12" i="1"/>
  <c r="B12" i="1"/>
  <c r="D8" i="1"/>
  <c r="C8" i="1"/>
  <c r="C13" i="1" s="1"/>
  <c r="B8" i="1"/>
  <c r="E3" i="3"/>
  <c r="D3" i="3"/>
  <c r="C3" i="3"/>
  <c r="D33" i="1"/>
  <c r="D73" i="1" s="1"/>
  <c r="C33" i="1"/>
  <c r="C73" i="1" s="1"/>
  <c r="B33" i="1"/>
  <c r="B73" i="1" s="1"/>
  <c r="C18" i="3" l="1"/>
  <c r="C50" i="3"/>
  <c r="E50" i="3"/>
  <c r="E18" i="3"/>
  <c r="B62" i="1"/>
  <c r="B13" i="1"/>
  <c r="C18" i="1"/>
  <c r="C20" i="1" s="1"/>
  <c r="C22" i="1" s="1"/>
  <c r="C76" i="1" s="1"/>
  <c r="C91" i="1" s="1"/>
  <c r="C109" i="1" s="1"/>
  <c r="B18" i="1"/>
  <c r="B20" i="1" s="1"/>
  <c r="B22" i="1" s="1"/>
  <c r="B76" i="1" s="1"/>
  <c r="B91" i="1" s="1"/>
  <c r="B109" i="1" s="1"/>
  <c r="C48" i="1"/>
  <c r="D62" i="1"/>
  <c r="D69" i="1" s="1"/>
  <c r="C69" i="1"/>
  <c r="D48" i="1"/>
  <c r="B69" i="1"/>
  <c r="A47" i="3"/>
  <c r="A49" i="3" s="1"/>
  <c r="A16" i="3"/>
  <c r="A17" i="3" s="1"/>
  <c r="A18" i="3" s="1"/>
  <c r="A20" i="3" s="1"/>
  <c r="A22" i="3" s="1"/>
  <c r="A5" i="3"/>
  <c r="A6" i="3" s="1"/>
  <c r="A7" i="3" s="1"/>
  <c r="A8" i="3" s="1"/>
  <c r="A9" i="3" s="1"/>
  <c r="A10" i="3" s="1"/>
  <c r="A11" i="3" s="1"/>
  <c r="A12" i="3" s="1"/>
  <c r="A13" i="3" s="1"/>
  <c r="A24" i="3" l="1"/>
  <c r="A25" i="3" s="1"/>
  <c r="A26" i="3" s="1"/>
  <c r="A27" i="3" s="1"/>
  <c r="A28" i="3" s="1"/>
  <c r="A29" i="3" s="1"/>
  <c r="A30" i="3" s="1"/>
  <c r="A33" i="3" l="1"/>
  <c r="A39" i="3" s="1"/>
  <c r="A40" i="3" s="1"/>
  <c r="A41" i="3" s="1"/>
  <c r="A42" i="3" s="1"/>
  <c r="A43" i="3" s="1"/>
  <c r="A44" i="3" s="1"/>
  <c r="A46" i="3" s="1"/>
  <c r="A48" i="3" s="1"/>
  <c r="A50" i="3" s="1"/>
  <c r="A34" i="3" l="1"/>
  <c r="A35" i="3" s="1"/>
  <c r="A36" i="3" s="1"/>
  <c r="A37" i="3" s="1"/>
</calcChain>
</file>

<file path=xl/sharedStrings.xml><?xml version="1.0" encoding="utf-8"?>
<sst xmlns="http://schemas.openxmlformats.org/spreadsheetml/2006/main" count="321" uniqueCount="206">
  <si>
    <t>Apple Inc.</t>
  </si>
  <si>
    <t>CONSOLIDATED STATEMENTS OF OPERATIONS</t>
  </si>
  <si>
    <t>(In millions, except number of shares which are reflected in thousands and per share amounts)</t>
  </si>
  <si>
    <t>Net sales:</t>
  </si>
  <si>
    <t>Products</t>
  </si>
  <si>
    <t>Services</t>
  </si>
  <si>
    <t>Total net sales</t>
  </si>
  <si>
    <t>Cost of sales:</t>
  </si>
  <si>
    <t>Total cost of sales</t>
  </si>
  <si>
    <t>Gross margin</t>
  </si>
  <si>
    <t>Operating expenses:</t>
  </si>
  <si>
    <t>Research and development</t>
  </si>
  <si>
    <t>Selling, general and administrative</t>
  </si>
  <si>
    <t>Total operating expenses</t>
  </si>
  <si>
    <t>Operating income</t>
  </si>
  <si>
    <t>Other income/(expense), net</t>
  </si>
  <si>
    <t>Income before provision for income taxes</t>
  </si>
  <si>
    <t>Provision for income taxes</t>
  </si>
  <si>
    <t>Net income</t>
  </si>
  <si>
    <t>Earnings per share:</t>
  </si>
  <si>
    <t>Basic</t>
  </si>
  <si>
    <t>Diluted</t>
  </si>
  <si>
    <t>Shares used in computing earnings per share:</t>
  </si>
  <si>
    <t>Years ended September,</t>
  </si>
  <si>
    <t>CONSOLIDATED BALANCE SHEETS</t>
  </si>
  <si>
    <t>Current assets:</t>
  </si>
  <si>
    <t>Cash and cash equivalents</t>
  </si>
  <si>
    <t>Marketable securities</t>
  </si>
  <si>
    <t>Accounts receivable, net</t>
  </si>
  <si>
    <t>Inventories</t>
  </si>
  <si>
    <t>Other current assets</t>
  </si>
  <si>
    <t>Total current assets</t>
  </si>
  <si>
    <t>Property, plant and equipment, net</t>
  </si>
  <si>
    <t>Total assets</t>
  </si>
  <si>
    <t>Current liabilities:</t>
  </si>
  <si>
    <t>Accounts payable</t>
  </si>
  <si>
    <t>Other current liabilities</t>
  </si>
  <si>
    <t>Deferred revenue</t>
  </si>
  <si>
    <t>Commercial paper</t>
  </si>
  <si>
    <t>Term debt</t>
  </si>
  <si>
    <t>Total current liabilities</t>
  </si>
  <si>
    <t>Total liabilities</t>
  </si>
  <si>
    <t>Shareholders’ equity:</t>
  </si>
  <si>
    <t>Retained earnings</t>
  </si>
  <si>
    <t>Accumulated other comprehensive income/(loss)</t>
  </si>
  <si>
    <t>Total shareholders’ equity</t>
  </si>
  <si>
    <t>Total liabilities and shareholders’ equity</t>
  </si>
  <si>
    <t>Vendor non trade receivables</t>
  </si>
  <si>
    <t>Non current assets:</t>
  </si>
  <si>
    <t>Other non current assets</t>
  </si>
  <si>
    <t>Total non current assets</t>
  </si>
  <si>
    <t>Non current liabilities:</t>
  </si>
  <si>
    <t>Other non current liabilities</t>
  </si>
  <si>
    <t>Total non current liabilities</t>
  </si>
  <si>
    <t>Common stock and additional paid in capital, $0.00001 par value: 12,600,000 shares authorized; 4,443,236 and 4,754,986 shares issued and outstanding, respectively</t>
  </si>
  <si>
    <t>CONSOLIDATED STATEMENTS OF CASH FLOWS</t>
  </si>
  <si>
    <t>Cash, cash equivalents and restricted cash, beginning balances</t>
  </si>
  <si>
    <t>Operating activities:</t>
  </si>
  <si>
    <t>Adjustments to reconcile net income to cash generated by operating</t>
  </si>
  <si>
    <t>Depreciation and amortization</t>
  </si>
  <si>
    <t>Deferred income tax expense/(benefit)</t>
  </si>
  <si>
    <t>Other</t>
  </si>
  <si>
    <t>Changes in operating assets and liabilities:</t>
  </si>
  <si>
    <t>Cash generated by operating activities</t>
  </si>
  <si>
    <t>Investing activities:</t>
  </si>
  <si>
    <t>Purchases of marketable securities</t>
  </si>
  <si>
    <t>Proceeds from maturities of marketable securities</t>
  </si>
  <si>
    <t>Proceeds from sales of marketable securities</t>
  </si>
  <si>
    <t>Payments for acquisition of property, plant and equipment</t>
  </si>
  <si>
    <t>Payments made in connection with business acquisitions, net</t>
  </si>
  <si>
    <t>Cash generated by/(used in) investing activities</t>
  </si>
  <si>
    <t>Financing activities:</t>
  </si>
  <si>
    <t>Payments for dividends and dividend equivalents</t>
  </si>
  <si>
    <t>Repurchases of common stock</t>
  </si>
  <si>
    <t>Proceeds from issuance of term debt, net</t>
  </si>
  <si>
    <t>Repayments of term debt</t>
  </si>
  <si>
    <t>Proceeds from/(Repayments of) commercial paper, net</t>
  </si>
  <si>
    <t>Cash used in financing activities</t>
  </si>
  <si>
    <t>Increase/(Decrease) in cash, cash equivalents and restricted</t>
  </si>
  <si>
    <t>Cash, cash equivalents and restricted cash, ending balances</t>
  </si>
  <si>
    <t>Supplemental cash flow disclosure:</t>
  </si>
  <si>
    <t>Cash paid for income taxes, net</t>
  </si>
  <si>
    <t>Cash paid for interest</t>
  </si>
  <si>
    <t>Share based compensation expense</t>
  </si>
  <si>
    <t>Other current and non current assets</t>
  </si>
  <si>
    <t>Other current and non current liabilities</t>
  </si>
  <si>
    <t>Payments for taxes related to net share settlement of equity awards</t>
  </si>
  <si>
    <t>Instructions</t>
  </si>
  <si>
    <t>https://investor.apple.com/investor-relations/default.aspx</t>
  </si>
  <si>
    <t>Gross profits</t>
  </si>
  <si>
    <t>Each operating expenses</t>
  </si>
  <si>
    <t>Main line items of the balance sheet</t>
  </si>
  <si>
    <t>You are required to calculate margins/ as a % of net sales for the following:</t>
  </si>
  <si>
    <t>Net profit</t>
  </si>
  <si>
    <t>Income tax rate</t>
  </si>
  <si>
    <t>Capex as a percentage of sales</t>
  </si>
  <si>
    <t>Capex as a percentage of fixed assets</t>
  </si>
  <si>
    <t>You are required to perform a ratio analysis in excel using the information provided from this financial statements</t>
  </si>
  <si>
    <t>You are required to calculate the following additional items</t>
  </si>
  <si>
    <t>Liquidity</t>
  </si>
  <si>
    <t>Current ratio</t>
  </si>
  <si>
    <t>Quick Ratio</t>
  </si>
  <si>
    <t>Cash Ratio</t>
  </si>
  <si>
    <t>Inventory Days</t>
  </si>
  <si>
    <t>Working Capital as a % of Sales</t>
  </si>
  <si>
    <t>Working Capital</t>
  </si>
  <si>
    <t>Profitability</t>
  </si>
  <si>
    <t>EBITDA margin</t>
  </si>
  <si>
    <t>EBITDA</t>
  </si>
  <si>
    <t>EBIT margin</t>
  </si>
  <si>
    <t>EBIT</t>
  </si>
  <si>
    <t>Net margin</t>
  </si>
  <si>
    <t>Solvency/ debt management</t>
  </si>
  <si>
    <t>Debt to equity (D/E)</t>
  </si>
  <si>
    <t>Debt to total assets</t>
  </si>
  <si>
    <t>Long-term debt to capital</t>
  </si>
  <si>
    <t>Times interest earned</t>
  </si>
  <si>
    <t>Debt coverage</t>
  </si>
  <si>
    <t>Free cash flow (FCFE) per share</t>
  </si>
  <si>
    <t>FCFE</t>
  </si>
  <si>
    <t>Asset utilization</t>
  </si>
  <si>
    <t>Total asset turnover</t>
  </si>
  <si>
    <t>Fixed asset turnover</t>
  </si>
  <si>
    <t>Inventory turnover</t>
  </si>
  <si>
    <t>Return on assets (ROA)</t>
  </si>
  <si>
    <t>Investor/market ratios</t>
  </si>
  <si>
    <t>Price to equity (P/E)</t>
  </si>
  <si>
    <t>Earnings per share (EPS)</t>
  </si>
  <si>
    <t>Price to book value (PBV)</t>
  </si>
  <si>
    <t>Book value per share (BV)</t>
  </si>
  <si>
    <t>Dividend payout ratio</t>
  </si>
  <si>
    <t>Dividend per share</t>
  </si>
  <si>
    <t>Return on equity (ROE)</t>
  </si>
  <si>
    <t>Return on capital employed (ROCE)</t>
  </si>
  <si>
    <t>Enterprise value to EBITDA (EV/EBITDA)</t>
  </si>
  <si>
    <t>Enterprise value (EV)</t>
  </si>
  <si>
    <t>Sheet contains the financial statements of Apple Inc. extracted from the most recent annual report:</t>
  </si>
  <si>
    <t>As at September,</t>
  </si>
  <si>
    <t>https://www.bloomberg.com/quote/AAPL:US</t>
  </si>
  <si>
    <t>* Market information like share price should be obtained from bloomberg.com from the particular day's closing price</t>
  </si>
  <si>
    <t>Sales (each category and net sales)</t>
  </si>
  <si>
    <t>COGS (Cost of goods sold)</t>
  </si>
  <si>
    <t>All of the above ratios should be calculated in the "List of Ratios" tab</t>
  </si>
  <si>
    <t>The ratios that should be calculated are listed in the ratios tab</t>
  </si>
  <si>
    <t>In addition to the above, you are required to calculate the growth rates for the following:</t>
  </si>
  <si>
    <t>Growth Rates</t>
  </si>
  <si>
    <t>Products Sales</t>
  </si>
  <si>
    <t>Services Sales</t>
  </si>
  <si>
    <t>Net Sales</t>
  </si>
  <si>
    <t>Gross Profit</t>
  </si>
  <si>
    <t>Operating Expenses - R&amp;D</t>
  </si>
  <si>
    <t>Operating Expenses - Selling, general &amp; administrative</t>
  </si>
  <si>
    <t>Main line items on Balance Sheet</t>
  </si>
  <si>
    <t>Additional Metrics</t>
  </si>
  <si>
    <t>Margins as a % of Net Sales</t>
  </si>
  <si>
    <t>Cost of Goods Solds (COGS)</t>
  </si>
  <si>
    <t>Operating Income</t>
  </si>
  <si>
    <t>Net Profit</t>
  </si>
  <si>
    <t>Income Tax Rate</t>
  </si>
  <si>
    <t>Capex as a % of sales</t>
  </si>
  <si>
    <t>Capex as a % of fixed assets</t>
  </si>
  <si>
    <t>Non-current Term debt</t>
  </si>
  <si>
    <t>Current Term debt</t>
  </si>
  <si>
    <t>Common stock and additional paid in capital</t>
  </si>
  <si>
    <t>Note: Included both trade and non-trade receivables as part of total Net Receivables</t>
  </si>
  <si>
    <t>Net Trading Cycle Calculation</t>
  </si>
  <si>
    <t>Raw Materials Holding Period</t>
  </si>
  <si>
    <t>Average Production Period</t>
  </si>
  <si>
    <t>Receivables Days</t>
  </si>
  <si>
    <t>Payables Days</t>
  </si>
  <si>
    <t>Net Trading Cycle</t>
  </si>
  <si>
    <t>A</t>
  </si>
  <si>
    <t>I</t>
  </si>
  <si>
    <t>R</t>
  </si>
  <si>
    <t>L</t>
  </si>
  <si>
    <t>Assets</t>
  </si>
  <si>
    <t>Liabilities</t>
  </si>
  <si>
    <t>Reduce</t>
  </si>
  <si>
    <t>Add</t>
  </si>
  <si>
    <t>Increasing</t>
  </si>
  <si>
    <t>Inventory Change:</t>
  </si>
  <si>
    <t>Increased by £127</t>
  </si>
  <si>
    <t>Increased by £2642</t>
  </si>
  <si>
    <t>Decreased by £1484</t>
  </si>
  <si>
    <t>Opening Inventory for 2020</t>
  </si>
  <si>
    <t>Opening Payables for 2020</t>
  </si>
  <si>
    <t>Opening Receivables for 2020</t>
  </si>
  <si>
    <t>Defensive Interval (in days)</t>
  </si>
  <si>
    <t>Inventory Days (in days)</t>
  </si>
  <si>
    <t>Payable Days (in days)</t>
  </si>
  <si>
    <t>Receivable Days (in days)</t>
  </si>
  <si>
    <t>Net trading cycle (in days)</t>
  </si>
  <si>
    <t>Note: I think I've made a mistake here but I'm not sure where</t>
  </si>
  <si>
    <t>Interest expense</t>
  </si>
  <si>
    <t>Tax expenses</t>
  </si>
  <si>
    <t>Added in</t>
  </si>
  <si>
    <t>Dividend yield (in USD)</t>
  </si>
  <si>
    <t>Units</t>
  </si>
  <si>
    <t>No units</t>
  </si>
  <si>
    <t>$ per share</t>
  </si>
  <si>
    <t>Market Capitalisation</t>
  </si>
  <si>
    <t>$m</t>
  </si>
  <si>
    <t>Apple Share Prices on 30th September for each year (in USD) (obtained from https://finance.yahoo.com/quote/AAPL/history?period1=1664496000&amp;period2=1664582400&amp;interval=1d&amp;filter=history&amp;frequency=1d&amp;includeAdjustedClose=true)</t>
  </si>
  <si>
    <t>No. shares outstanding (obtained from https://companiesmarketcap.com/apple/shares-outstanding/)</t>
  </si>
  <si>
    <t>Cashflow Acronym</t>
  </si>
  <si>
    <t>Days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</si>
</sst>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(* #,##0_);_(* \(#,##0\);_(* &quot;-&quot;??_);_(@_)"/>
    <numFmt numFmtId="166" formatCode="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20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1"/>
      <color theme="1" tint="0.499984740745262"/>
      <name val="Calibri"/>
      <family val="2"/>
      <scheme val="minor"/>
    </font>
    <font>
      <sz val="11"/>
      <color theme="1" tint="0.49998474074526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0" xfId="0" applyAlignment="1">
      <alignment horizontal="left" indent="1"/>
    </xf>
    <xf numFmtId="3" fontId="0" fillId="0" borderId="0" xfId="0" applyNumberFormat="1"/>
    <xf numFmtId="0" fontId="0" fillId="0" borderId="0" xfId="0" applyAlignment="1">
      <alignment horizontal="left" indent="2"/>
    </xf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vertical="center"/>
    </xf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0" fillId="4" borderId="0" xfId="0" applyFill="1"/>
    <xf numFmtId="0" fontId="2" fillId="0" borderId="0" xfId="0" applyFont="1" applyAlignment="1">
      <alignment horizontal="left" indent="1"/>
    </xf>
    <xf numFmtId="165" fontId="0" fillId="0" borderId="0" xfId="1" applyNumberFormat="1" applyFont="1"/>
    <xf numFmtId="165" fontId="2" fillId="0" borderId="1" xfId="1" applyNumberFormat="1" applyFont="1" applyBorder="1"/>
    <xf numFmtId="165" fontId="2" fillId="0" borderId="2" xfId="1" applyNumberFormat="1" applyFont="1" applyBorder="1"/>
    <xf numFmtId="165" fontId="2" fillId="0" borderId="0" xfId="1" applyNumberFormat="1" applyFont="1"/>
    <xf numFmtId="0" fontId="6" fillId="0" borderId="0" xfId="2" applyAlignment="1">
      <alignment horizontal="left" indent="1"/>
    </xf>
    <xf numFmtId="0" fontId="2" fillId="0" borderId="0" xfId="0" applyFont="1" applyAlignment="1">
      <alignment horizontal="left"/>
    </xf>
    <xf numFmtId="166" fontId="0" fillId="0" borderId="0" xfId="0" applyNumberFormat="1"/>
    <xf numFmtId="0" fontId="3" fillId="2" borderId="0" xfId="0" applyFont="1" applyFill="1" applyAlignment="1">
      <alignment horizontal="center"/>
    </xf>
    <xf numFmtId="0" fontId="7" fillId="2" borderId="0" xfId="0" applyFont="1" applyFill="1" applyAlignment="1">
      <alignment horizontal="left"/>
    </xf>
    <xf numFmtId="165" fontId="0" fillId="0" borderId="3" xfId="1" applyNumberFormat="1" applyFont="1" applyBorder="1"/>
    <xf numFmtId="0" fontId="2" fillId="0" borderId="3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0" fontId="2" fillId="0" borderId="0" xfId="0" applyFont="1" applyAlignment="1"/>
    <xf numFmtId="0" fontId="9" fillId="0" borderId="0" xfId="0" applyFont="1"/>
    <xf numFmtId="0" fontId="10" fillId="0" borderId="0" xfId="0" applyFont="1"/>
    <xf numFmtId="10" fontId="0" fillId="0" borderId="0" xfId="0" applyNumberFormat="1"/>
    <xf numFmtId="10" fontId="0" fillId="0" borderId="0" xfId="3" applyNumberFormat="1" applyFont="1"/>
    <xf numFmtId="2" fontId="0" fillId="0" borderId="0" xfId="0" applyNumberFormat="1"/>
    <xf numFmtId="1" fontId="0" fillId="0" borderId="0" xfId="0" applyNumberFormat="1"/>
    <xf numFmtId="0" fontId="0" fillId="0" borderId="4" xfId="0" applyBorder="1"/>
    <xf numFmtId="165" fontId="0" fillId="0" borderId="0" xfId="0" applyNumberFormat="1"/>
    <xf numFmtId="1" fontId="8" fillId="0" borderId="0" xfId="0" applyNumberFormat="1" applyFont="1"/>
    <xf numFmtId="0" fontId="8" fillId="0" borderId="0" xfId="0" applyFont="1"/>
    <xf numFmtId="0" fontId="0" fillId="0" borderId="0" xfId="0" applyNumberFormat="1"/>
    <xf numFmtId="0" fontId="11" fillId="0" borderId="0" xfId="0" applyFont="1"/>
    <xf numFmtId="0" fontId="12" fillId="0" borderId="0" xfId="0" applyFont="1"/>
    <xf numFmtId="0" fontId="12" fillId="2" borderId="0" xfId="0" applyFont="1" applyFill="1"/>
    <xf numFmtId="165" fontId="12" fillId="0" borderId="0" xfId="1" applyNumberFormat="1" applyFont="1"/>
    <xf numFmtId="165" fontId="11" fillId="0" borderId="1" xfId="1" applyNumberFormat="1" applyFont="1" applyBorder="1"/>
    <xf numFmtId="165" fontId="11" fillId="0" borderId="2" xfId="1" applyNumberFormat="1" applyFont="1" applyBorder="1"/>
    <xf numFmtId="0" fontId="12" fillId="4" borderId="0" xfId="0" applyFont="1" applyFill="1"/>
    <xf numFmtId="3" fontId="12" fillId="0" borderId="0" xfId="0" applyNumberFormat="1" applyFont="1"/>
    <xf numFmtId="165" fontId="12" fillId="0" borderId="3" xfId="1" applyNumberFormat="1" applyFont="1" applyBorder="1"/>
    <xf numFmtId="165" fontId="11" fillId="0" borderId="0" xfId="1" applyNumberFormat="1" applyFont="1"/>
    <xf numFmtId="0" fontId="0" fillId="0" borderId="0" xfId="0" applyFill="1" applyAlignment="1">
      <alignment horizontal="left" indent="1"/>
    </xf>
    <xf numFmtId="0" fontId="0" fillId="0" borderId="0" xfId="0" applyFill="1"/>
    <xf numFmtId="0" fontId="0" fillId="0" borderId="0" xfId="0" applyFill="1" applyAlignment="1">
      <alignment horizontal="left" indent="2"/>
    </xf>
    <xf numFmtId="0" fontId="0" fillId="0" borderId="0" xfId="0" applyAlignment="1">
      <alignment wrapText="1"/>
    </xf>
    <xf numFmtId="0" fontId="0" fillId="0" borderId="0" xfId="0" applyNumberFormat="1" applyFill="1"/>
    <xf numFmtId="10" fontId="0" fillId="0" borderId="0" xfId="0" applyNumberFormat="1" applyFill="1"/>
  </cellXfs>
  <cellStyles count="4">
    <cellStyle name="Comma" xfId="1" builtinId="3"/>
    <cellStyle name="Hyperlink" xfId="2" builtinId="8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bloomberg.com/quote/AAPL:US" TargetMode="External"/><Relationship Id="rId1" Type="http://schemas.openxmlformats.org/officeDocument/2006/relationships/hyperlink" Target="https://investor.apple.com/investor-relations/default.aspx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29"/>
  <sheetViews>
    <sheetView tabSelected="1" workbookViewId="0">
      <selection activeCell="A15" sqref="A15"/>
    </sheetView>
  </sheetViews>
  <sheetFormatPr defaultRowHeight="15" x14ac:dyDescent="0.25"/>
  <cols>
    <col min="1" max="1" width="104.5703125" customWidth="1"/>
  </cols>
  <sheetData>
    <row r="1" spans="1:1" ht="23.25" x14ac:dyDescent="0.35">
      <c r="A1" s="5" t="s">
        <v>87</v>
      </c>
    </row>
    <row r="3" spans="1:1" x14ac:dyDescent="0.25">
      <c r="A3" s="7" t="s">
        <v>136</v>
      </c>
    </row>
    <row r="4" spans="1:1" x14ac:dyDescent="0.25">
      <c r="A4" s="16" t="s">
        <v>88</v>
      </c>
    </row>
    <row r="5" spans="1:1" x14ac:dyDescent="0.25">
      <c r="A5" s="7" t="s">
        <v>97</v>
      </c>
    </row>
    <row r="6" spans="1:1" x14ac:dyDescent="0.25">
      <c r="A6" s="1" t="s">
        <v>143</v>
      </c>
    </row>
    <row r="7" spans="1:1" x14ac:dyDescent="0.25">
      <c r="A7" s="1"/>
    </row>
    <row r="8" spans="1:1" x14ac:dyDescent="0.25">
      <c r="A8" s="17" t="s">
        <v>144</v>
      </c>
    </row>
    <row r="9" spans="1:1" x14ac:dyDescent="0.25">
      <c r="A9" s="1" t="s">
        <v>140</v>
      </c>
    </row>
    <row r="10" spans="1:1" x14ac:dyDescent="0.25">
      <c r="A10" s="1" t="s">
        <v>89</v>
      </c>
    </row>
    <row r="11" spans="1:1" x14ac:dyDescent="0.25">
      <c r="A11" s="1" t="s">
        <v>90</v>
      </c>
    </row>
    <row r="12" spans="1:1" x14ac:dyDescent="0.25">
      <c r="A12" s="1" t="s">
        <v>91</v>
      </c>
    </row>
    <row r="13" spans="1:1" x14ac:dyDescent="0.25">
      <c r="A13" s="1"/>
    </row>
    <row r="14" spans="1:1" x14ac:dyDescent="0.25">
      <c r="A14" s="17" t="s">
        <v>92</v>
      </c>
    </row>
    <row r="15" spans="1:1" x14ac:dyDescent="0.25">
      <c r="A15" s="1" t="s">
        <v>141</v>
      </c>
    </row>
    <row r="16" spans="1:1" x14ac:dyDescent="0.25">
      <c r="A16" s="1" t="s">
        <v>89</v>
      </c>
    </row>
    <row r="17" spans="1:1" x14ac:dyDescent="0.25">
      <c r="A17" s="1" t="s">
        <v>90</v>
      </c>
    </row>
    <row r="18" spans="1:1" x14ac:dyDescent="0.25">
      <c r="A18" s="1" t="s">
        <v>14</v>
      </c>
    </row>
    <row r="19" spans="1:1" x14ac:dyDescent="0.25">
      <c r="A19" s="1" t="s">
        <v>93</v>
      </c>
    </row>
    <row r="20" spans="1:1" x14ac:dyDescent="0.25">
      <c r="A20" s="1"/>
    </row>
    <row r="21" spans="1:1" x14ac:dyDescent="0.25">
      <c r="A21" s="17" t="s">
        <v>98</v>
      </c>
    </row>
    <row r="22" spans="1:1" x14ac:dyDescent="0.25">
      <c r="A22" s="1" t="s">
        <v>94</v>
      </c>
    </row>
    <row r="23" spans="1:1" x14ac:dyDescent="0.25">
      <c r="A23" s="1" t="s">
        <v>95</v>
      </c>
    </row>
    <row r="24" spans="1:1" x14ac:dyDescent="0.25">
      <c r="A24" s="1" t="s">
        <v>96</v>
      </c>
    </row>
    <row r="25" spans="1:1" x14ac:dyDescent="0.25">
      <c r="A25" s="1"/>
    </row>
    <row r="26" spans="1:1" x14ac:dyDescent="0.25">
      <c r="A26" s="17" t="s">
        <v>139</v>
      </c>
    </row>
    <row r="27" spans="1:1" x14ac:dyDescent="0.25">
      <c r="A27" s="16" t="s">
        <v>138</v>
      </c>
    </row>
    <row r="29" spans="1:1" x14ac:dyDescent="0.25">
      <c r="A29" s="7" t="s">
        <v>142</v>
      </c>
    </row>
  </sheetData>
  <hyperlinks>
    <hyperlink ref="A4" r:id="rId1" xr:uid="{00000000-0004-0000-0000-000000000000}"/>
    <hyperlink ref="A27" r:id="rId2" xr:uid="{00000000-0004-0000-0000-000001000000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19"/>
  <sheetViews>
    <sheetView workbookViewId="0">
      <selection activeCell="H21" sqref="H21:K21"/>
    </sheetView>
  </sheetViews>
  <sheetFormatPr defaultRowHeight="15" x14ac:dyDescent="0.25"/>
  <cols>
    <col min="1" max="1" width="59" customWidth="1"/>
    <col min="2" max="3" width="11.5703125" bestFit="1" customWidth="1"/>
    <col min="4" max="4" width="11.7109375" bestFit="1" customWidth="1"/>
    <col min="5" max="5" width="10.85546875" style="38" customWidth="1"/>
    <col min="10" max="10" width="18.5703125" bestFit="1" customWidth="1"/>
    <col min="11" max="11" width="17.85546875" bestFit="1" customWidth="1"/>
    <col min="12" max="12" width="16.7109375" bestFit="1" customWidth="1"/>
  </cols>
  <sheetData>
    <row r="1" spans="1:10" ht="60" customHeight="1" x14ac:dyDescent="0.25">
      <c r="A1" s="6" t="s">
        <v>0</v>
      </c>
      <c r="B1" s="4" t="s">
        <v>2</v>
      </c>
      <c r="C1" s="4"/>
      <c r="D1" s="4"/>
      <c r="E1" s="39"/>
      <c r="F1" s="4"/>
      <c r="G1" s="4"/>
      <c r="H1" s="4"/>
      <c r="I1" s="4"/>
      <c r="J1" s="4"/>
    </row>
    <row r="2" spans="1:10" x14ac:dyDescent="0.25">
      <c r="A2" s="24" t="s">
        <v>1</v>
      </c>
      <c r="B2" s="24"/>
      <c r="C2" s="24"/>
      <c r="D2" s="24"/>
    </row>
    <row r="3" spans="1:10" x14ac:dyDescent="0.25">
      <c r="B3" s="23" t="s">
        <v>23</v>
      </c>
      <c r="C3" s="23"/>
      <c r="D3" s="23"/>
      <c r="E3" s="38" t="s">
        <v>195</v>
      </c>
    </row>
    <row r="4" spans="1:10" x14ac:dyDescent="0.25">
      <c r="B4" s="7">
        <v>2022</v>
      </c>
      <c r="C4" s="7">
        <v>2021</v>
      </c>
      <c r="D4" s="7">
        <v>2020</v>
      </c>
      <c r="E4" s="37">
        <v>2019</v>
      </c>
    </row>
    <row r="5" spans="1:10" x14ac:dyDescent="0.25">
      <c r="A5" t="s">
        <v>3</v>
      </c>
    </row>
    <row r="6" spans="1:10" x14ac:dyDescent="0.25">
      <c r="A6" s="1" t="s">
        <v>4</v>
      </c>
      <c r="B6" s="12">
        <v>316199</v>
      </c>
      <c r="C6" s="12">
        <v>297392</v>
      </c>
      <c r="D6" s="12">
        <v>220747</v>
      </c>
      <c r="E6" s="40">
        <v>213883</v>
      </c>
    </row>
    <row r="7" spans="1:10" x14ac:dyDescent="0.25">
      <c r="A7" s="1" t="s">
        <v>5</v>
      </c>
      <c r="B7" s="12">
        <v>78129</v>
      </c>
      <c r="C7" s="12">
        <v>68425</v>
      </c>
      <c r="D7" s="12">
        <v>53768</v>
      </c>
      <c r="E7" s="40">
        <v>46291</v>
      </c>
    </row>
    <row r="8" spans="1:10" x14ac:dyDescent="0.25">
      <c r="A8" s="8" t="s">
        <v>6</v>
      </c>
      <c r="B8" s="13">
        <f>+B6+B7</f>
        <v>394328</v>
      </c>
      <c r="C8" s="13">
        <f t="shared" ref="C8:D8" si="0">+C6+C7</f>
        <v>365817</v>
      </c>
      <c r="D8" s="13">
        <f t="shared" si="0"/>
        <v>274515</v>
      </c>
      <c r="E8" s="41">
        <f t="shared" ref="E8" si="1">+E6+E7</f>
        <v>260174</v>
      </c>
    </row>
    <row r="9" spans="1:10" x14ac:dyDescent="0.25">
      <c r="A9" t="s">
        <v>7</v>
      </c>
      <c r="B9" s="12"/>
      <c r="C9" s="12"/>
      <c r="D9" s="12"/>
      <c r="E9" s="40"/>
    </row>
    <row r="10" spans="1:10" x14ac:dyDescent="0.25">
      <c r="A10" s="1" t="s">
        <v>4</v>
      </c>
      <c r="B10" s="12">
        <v>201471</v>
      </c>
      <c r="C10" s="12">
        <v>192266</v>
      </c>
      <c r="D10" s="12">
        <v>151286</v>
      </c>
      <c r="E10" s="40">
        <v>144996</v>
      </c>
    </row>
    <row r="11" spans="1:10" x14ac:dyDescent="0.25">
      <c r="A11" s="1" t="s">
        <v>5</v>
      </c>
      <c r="B11" s="12">
        <v>22075</v>
      </c>
      <c r="C11" s="12">
        <v>20715</v>
      </c>
      <c r="D11" s="12">
        <v>18273</v>
      </c>
      <c r="E11" s="40">
        <v>16786</v>
      </c>
    </row>
    <row r="12" spans="1:10" x14ac:dyDescent="0.25">
      <c r="A12" s="8" t="s">
        <v>8</v>
      </c>
      <c r="B12" s="13">
        <f>+B10+B11</f>
        <v>223546</v>
      </c>
      <c r="C12" s="13">
        <f t="shared" ref="C12:D12" si="2">+C10+C11</f>
        <v>212981</v>
      </c>
      <c r="D12" s="13">
        <f t="shared" si="2"/>
        <v>169559</v>
      </c>
      <c r="E12" s="41">
        <f t="shared" ref="E12" si="3">+E10+E11</f>
        <v>161782</v>
      </c>
    </row>
    <row r="13" spans="1:10" x14ac:dyDescent="0.25">
      <c r="A13" s="8" t="s">
        <v>9</v>
      </c>
      <c r="B13" s="13">
        <f>+B8-B12</f>
        <v>170782</v>
      </c>
      <c r="C13" s="13">
        <f t="shared" ref="C13:D13" si="4">+C8-C12</f>
        <v>152836</v>
      </c>
      <c r="D13" s="13">
        <f t="shared" si="4"/>
        <v>104956</v>
      </c>
      <c r="E13" s="41">
        <f t="shared" ref="E13" si="5">+E8-E12</f>
        <v>98392</v>
      </c>
    </row>
    <row r="14" spans="1:10" x14ac:dyDescent="0.25">
      <c r="A14" t="s">
        <v>10</v>
      </c>
      <c r="B14" s="12"/>
      <c r="C14" s="12"/>
      <c r="D14" s="12"/>
      <c r="E14" s="40"/>
    </row>
    <row r="15" spans="1:10" x14ac:dyDescent="0.25">
      <c r="A15" s="1" t="s">
        <v>11</v>
      </c>
      <c r="B15" s="12">
        <v>26251</v>
      </c>
      <c r="C15" s="12">
        <v>21914</v>
      </c>
      <c r="D15" s="12">
        <v>18752</v>
      </c>
      <c r="E15" s="40">
        <v>16217</v>
      </c>
    </row>
    <row r="16" spans="1:10" x14ac:dyDescent="0.25">
      <c r="A16" s="1" t="s">
        <v>12</v>
      </c>
      <c r="B16" s="12">
        <v>25094</v>
      </c>
      <c r="C16" s="12">
        <v>21973</v>
      </c>
      <c r="D16" s="12">
        <v>19916</v>
      </c>
      <c r="E16" s="40">
        <v>18245</v>
      </c>
    </row>
    <row r="17" spans="1:5" x14ac:dyDescent="0.25">
      <c r="A17" s="8" t="s">
        <v>13</v>
      </c>
      <c r="B17" s="13">
        <f>+B15+B16</f>
        <v>51345</v>
      </c>
      <c r="C17" s="13">
        <f t="shared" ref="C17" si="6">+C15+C16</f>
        <v>43887</v>
      </c>
      <c r="D17" s="13">
        <f t="shared" ref="D17:E17" si="7">+D15+D16</f>
        <v>38668</v>
      </c>
      <c r="E17" s="41">
        <f t="shared" si="7"/>
        <v>34462</v>
      </c>
    </row>
    <row r="18" spans="1:5" s="7" customFormat="1" x14ac:dyDescent="0.25">
      <c r="A18" s="8" t="s">
        <v>14</v>
      </c>
      <c r="B18" s="13">
        <f>+B13-B17</f>
        <v>119437</v>
      </c>
      <c r="C18" s="13">
        <f t="shared" ref="C18:D18" si="8">+C13-C17</f>
        <v>108949</v>
      </c>
      <c r="D18" s="13">
        <f t="shared" si="8"/>
        <v>66288</v>
      </c>
      <c r="E18" s="41">
        <f t="shared" ref="E18" si="9">+E13-E17</f>
        <v>63930</v>
      </c>
    </row>
    <row r="19" spans="1:5" x14ac:dyDescent="0.25">
      <c r="A19" t="s">
        <v>15</v>
      </c>
      <c r="B19" s="12">
        <v>-334</v>
      </c>
      <c r="C19" s="12">
        <v>258</v>
      </c>
      <c r="D19" s="12">
        <v>803</v>
      </c>
      <c r="E19" s="40">
        <v>1807</v>
      </c>
    </row>
    <row r="20" spans="1:5" x14ac:dyDescent="0.25">
      <c r="A20" s="8" t="s">
        <v>16</v>
      </c>
      <c r="B20" s="13">
        <f>+B18+B19</f>
        <v>119103</v>
      </c>
      <c r="C20" s="13">
        <f t="shared" ref="C20:D20" si="10">+C18+C19</f>
        <v>109207</v>
      </c>
      <c r="D20" s="13">
        <f t="shared" si="10"/>
        <v>67091</v>
      </c>
      <c r="E20" s="41">
        <f t="shared" ref="E20" si="11">+E18+E19</f>
        <v>65737</v>
      </c>
    </row>
    <row r="21" spans="1:5" x14ac:dyDescent="0.25">
      <c r="A21" s="48" t="s">
        <v>17</v>
      </c>
      <c r="B21" s="12">
        <v>19300</v>
      </c>
      <c r="C21" s="12">
        <v>14527</v>
      </c>
      <c r="D21" s="12">
        <v>9680</v>
      </c>
      <c r="E21" s="40">
        <v>10481</v>
      </c>
    </row>
    <row r="22" spans="1:5" ht="15.75" thickBot="1" x14ac:dyDescent="0.3">
      <c r="A22" s="9" t="s">
        <v>18</v>
      </c>
      <c r="B22" s="14">
        <f>+B20-B21</f>
        <v>99803</v>
      </c>
      <c r="C22" s="14">
        <f t="shared" ref="C22:D22" si="12">+C20-C21</f>
        <v>94680</v>
      </c>
      <c r="D22" s="14">
        <f t="shared" si="12"/>
        <v>57411</v>
      </c>
      <c r="E22" s="42">
        <f t="shared" ref="E22" si="13">+E20-E21</f>
        <v>55256</v>
      </c>
    </row>
    <row r="23" spans="1:5" ht="15.75" thickTop="1" x14ac:dyDescent="0.25">
      <c r="A23" t="s">
        <v>19</v>
      </c>
    </row>
    <row r="24" spans="1:5" x14ac:dyDescent="0.25">
      <c r="A24" s="1" t="s">
        <v>20</v>
      </c>
      <c r="B24" s="10">
        <v>6.15</v>
      </c>
      <c r="C24" s="10">
        <v>5.67</v>
      </c>
      <c r="D24" s="10">
        <v>3.31</v>
      </c>
      <c r="E24" s="43">
        <v>2.99</v>
      </c>
    </row>
    <row r="25" spans="1:5" x14ac:dyDescent="0.25">
      <c r="A25" s="1" t="s">
        <v>21</v>
      </c>
      <c r="B25" s="10">
        <v>6.11</v>
      </c>
      <c r="C25" s="10">
        <v>5.61</v>
      </c>
      <c r="D25" s="10">
        <v>3.28</v>
      </c>
      <c r="E25" s="43">
        <v>2.97</v>
      </c>
    </row>
    <row r="26" spans="1:5" x14ac:dyDescent="0.25">
      <c r="A26" t="s">
        <v>22</v>
      </c>
    </row>
    <row r="27" spans="1:5" x14ac:dyDescent="0.25">
      <c r="A27" s="1" t="s">
        <v>20</v>
      </c>
      <c r="B27" s="2">
        <v>16215963</v>
      </c>
      <c r="C27" s="2">
        <v>16701272</v>
      </c>
      <c r="D27" s="2">
        <v>17352119</v>
      </c>
      <c r="E27" s="44">
        <v>18471336</v>
      </c>
    </row>
    <row r="28" spans="1:5" x14ac:dyDescent="0.25">
      <c r="A28" s="1" t="s">
        <v>21</v>
      </c>
      <c r="B28" s="2">
        <v>16325819</v>
      </c>
      <c r="C28" s="2">
        <v>16864919</v>
      </c>
      <c r="D28" s="2">
        <v>17528214</v>
      </c>
      <c r="E28" s="44">
        <v>18595651</v>
      </c>
    </row>
    <row r="31" spans="1:5" x14ac:dyDescent="0.25">
      <c r="A31" s="24" t="s">
        <v>24</v>
      </c>
      <c r="B31" s="24"/>
      <c r="C31" s="24"/>
      <c r="D31" s="24"/>
    </row>
    <row r="32" spans="1:5" x14ac:dyDescent="0.25">
      <c r="B32" s="23" t="s">
        <v>137</v>
      </c>
      <c r="C32" s="23"/>
      <c r="D32" s="23"/>
      <c r="E32" s="38" t="s">
        <v>195</v>
      </c>
    </row>
    <row r="33" spans="1:10" x14ac:dyDescent="0.25">
      <c r="B33" s="7">
        <f>+B4</f>
        <v>2022</v>
      </c>
      <c r="C33" s="7">
        <f t="shared" ref="C33:D33" si="14">+C4</f>
        <v>2021</v>
      </c>
      <c r="D33" s="7">
        <f t="shared" si="14"/>
        <v>2020</v>
      </c>
      <c r="E33" s="37">
        <v>2019</v>
      </c>
    </row>
    <row r="35" spans="1:10" x14ac:dyDescent="0.25">
      <c r="A35" t="s">
        <v>25</v>
      </c>
    </row>
    <row r="36" spans="1:10" x14ac:dyDescent="0.25">
      <c r="A36" s="1" t="s">
        <v>26</v>
      </c>
      <c r="B36" s="12">
        <v>23646</v>
      </c>
      <c r="C36" s="12">
        <v>34940</v>
      </c>
      <c r="D36" s="12">
        <v>38016</v>
      </c>
      <c r="E36" s="40">
        <v>48844</v>
      </c>
    </row>
    <row r="37" spans="1:10" x14ac:dyDescent="0.25">
      <c r="A37" s="1" t="s">
        <v>27</v>
      </c>
      <c r="B37" s="12">
        <v>24658</v>
      </c>
      <c r="C37" s="12">
        <v>27699</v>
      </c>
      <c r="D37" s="12">
        <v>52927</v>
      </c>
      <c r="E37" s="40">
        <v>51713</v>
      </c>
    </row>
    <row r="38" spans="1:10" x14ac:dyDescent="0.25">
      <c r="A38" s="1" t="s">
        <v>28</v>
      </c>
      <c r="B38" s="12">
        <v>28184</v>
      </c>
      <c r="C38" s="12">
        <v>26278</v>
      </c>
      <c r="D38" s="12">
        <v>16120</v>
      </c>
      <c r="E38" s="40">
        <v>22926</v>
      </c>
    </row>
    <row r="39" spans="1:10" x14ac:dyDescent="0.25">
      <c r="A39" s="1" t="s">
        <v>29</v>
      </c>
      <c r="B39" s="12">
        <v>4946</v>
      </c>
      <c r="C39" s="12">
        <v>6580</v>
      </c>
      <c r="D39" s="12">
        <v>4061</v>
      </c>
      <c r="E39" s="40">
        <v>4106</v>
      </c>
    </row>
    <row r="40" spans="1:10" x14ac:dyDescent="0.25">
      <c r="A40" s="1" t="s">
        <v>47</v>
      </c>
      <c r="B40" s="12">
        <v>32748</v>
      </c>
      <c r="C40" s="12">
        <v>25228</v>
      </c>
      <c r="D40" s="12">
        <v>21325</v>
      </c>
      <c r="E40" s="40">
        <v>22878</v>
      </c>
    </row>
    <row r="41" spans="1:10" x14ac:dyDescent="0.25">
      <c r="A41" s="1" t="s">
        <v>30</v>
      </c>
      <c r="B41" s="12">
        <v>21223</v>
      </c>
      <c r="C41" s="12">
        <v>14111</v>
      </c>
      <c r="D41" s="12">
        <v>11264</v>
      </c>
      <c r="E41" s="40">
        <v>12352</v>
      </c>
    </row>
    <row r="42" spans="1:10" x14ac:dyDescent="0.25">
      <c r="A42" s="8" t="s">
        <v>31</v>
      </c>
      <c r="B42" s="13">
        <f>+SUM(B36:B41)</f>
        <v>135405</v>
      </c>
      <c r="C42" s="13">
        <f t="shared" ref="C42:D42" si="15">+SUM(C36:C41)</f>
        <v>134836</v>
      </c>
      <c r="D42" s="13">
        <f t="shared" si="15"/>
        <v>143713</v>
      </c>
      <c r="E42" s="41">
        <f t="shared" ref="E42" si="16">+SUM(E36:E41)</f>
        <v>162819</v>
      </c>
    </row>
    <row r="43" spans="1:10" x14ac:dyDescent="0.25">
      <c r="A43" t="s">
        <v>48</v>
      </c>
      <c r="B43" s="12"/>
      <c r="C43" s="12"/>
      <c r="D43" s="12"/>
      <c r="E43" s="40"/>
    </row>
    <row r="44" spans="1:10" x14ac:dyDescent="0.25">
      <c r="A44" s="1" t="s">
        <v>27</v>
      </c>
      <c r="B44" s="12">
        <v>120805</v>
      </c>
      <c r="C44" s="12">
        <v>127877</v>
      </c>
      <c r="D44" s="12">
        <v>100887</v>
      </c>
      <c r="E44" s="40">
        <v>105341</v>
      </c>
      <c r="I44" s="33"/>
      <c r="J44" s="33"/>
    </row>
    <row r="45" spans="1:10" x14ac:dyDescent="0.25">
      <c r="A45" s="1" t="s">
        <v>32</v>
      </c>
      <c r="B45" s="12">
        <v>42117</v>
      </c>
      <c r="C45" s="12">
        <v>39440</v>
      </c>
      <c r="D45" s="12">
        <v>36766</v>
      </c>
      <c r="E45" s="40">
        <v>37378</v>
      </c>
    </row>
    <row r="46" spans="1:10" x14ac:dyDescent="0.25">
      <c r="A46" s="1" t="s">
        <v>49</v>
      </c>
      <c r="B46" s="12">
        <v>54428</v>
      </c>
      <c r="C46" s="12">
        <v>48849</v>
      </c>
      <c r="D46" s="12">
        <v>42522</v>
      </c>
      <c r="E46" s="40">
        <v>32978</v>
      </c>
    </row>
    <row r="47" spans="1:10" x14ac:dyDescent="0.25">
      <c r="A47" s="8" t="s">
        <v>50</v>
      </c>
      <c r="B47" s="13">
        <f>+SUM(B44:B46)</f>
        <v>217350</v>
      </c>
      <c r="C47" s="13">
        <f t="shared" ref="C47:D47" si="17">+SUM(C44:C46)</f>
        <v>216166</v>
      </c>
      <c r="D47" s="13">
        <f t="shared" si="17"/>
        <v>180175</v>
      </c>
      <c r="E47" s="41">
        <f t="shared" ref="E47" si="18">+SUM(E44:E46)</f>
        <v>175697</v>
      </c>
    </row>
    <row r="48" spans="1:10" ht="15.75" thickBot="1" x14ac:dyDescent="0.3">
      <c r="A48" s="9" t="s">
        <v>33</v>
      </c>
      <c r="B48" s="14">
        <f>+B42+B47</f>
        <v>352755</v>
      </c>
      <c r="C48" s="14">
        <f t="shared" ref="C48:D48" si="19">+C42+C47</f>
        <v>351002</v>
      </c>
      <c r="D48" s="14">
        <f t="shared" si="19"/>
        <v>323888</v>
      </c>
      <c r="E48" s="42">
        <f t="shared" ref="E48" si="20">+E42+E47</f>
        <v>338516</v>
      </c>
    </row>
    <row r="49" spans="1:5" ht="15.75" thickTop="1" x14ac:dyDescent="0.25"/>
    <row r="50" spans="1:5" x14ac:dyDescent="0.25">
      <c r="A50" t="s">
        <v>34</v>
      </c>
    </row>
    <row r="51" spans="1:5" x14ac:dyDescent="0.25">
      <c r="A51" s="1" t="s">
        <v>35</v>
      </c>
      <c r="B51" s="12">
        <v>64115</v>
      </c>
      <c r="C51" s="12">
        <v>54763</v>
      </c>
      <c r="D51" s="12">
        <v>42296</v>
      </c>
      <c r="E51" s="40">
        <v>46236</v>
      </c>
    </row>
    <row r="52" spans="1:5" x14ac:dyDescent="0.25">
      <c r="A52" s="1" t="s">
        <v>36</v>
      </c>
      <c r="B52" s="12">
        <v>60845</v>
      </c>
      <c r="C52" s="12">
        <v>47493</v>
      </c>
      <c r="D52" s="12">
        <v>42684</v>
      </c>
      <c r="E52" s="40">
        <v>37720</v>
      </c>
    </row>
    <row r="53" spans="1:5" x14ac:dyDescent="0.25">
      <c r="A53" s="1" t="s">
        <v>37</v>
      </c>
      <c r="B53" s="12">
        <v>7912</v>
      </c>
      <c r="C53" s="12">
        <v>7612</v>
      </c>
      <c r="D53" s="12">
        <v>6643</v>
      </c>
      <c r="E53" s="40">
        <v>5522</v>
      </c>
    </row>
    <row r="54" spans="1:5" x14ac:dyDescent="0.25">
      <c r="A54" s="1" t="s">
        <v>38</v>
      </c>
      <c r="B54" s="12">
        <v>9982</v>
      </c>
      <c r="C54" s="12">
        <v>6000</v>
      </c>
      <c r="D54" s="12">
        <v>4996</v>
      </c>
      <c r="E54" s="40">
        <v>5980</v>
      </c>
    </row>
    <row r="55" spans="1:5" x14ac:dyDescent="0.25">
      <c r="A55" s="1" t="s">
        <v>39</v>
      </c>
      <c r="B55" s="12">
        <v>11128</v>
      </c>
      <c r="C55" s="12">
        <v>9613</v>
      </c>
      <c r="D55" s="12">
        <v>8773</v>
      </c>
      <c r="E55" s="40">
        <v>10260</v>
      </c>
    </row>
    <row r="56" spans="1:5" x14ac:dyDescent="0.25">
      <c r="A56" s="8" t="s">
        <v>40</v>
      </c>
      <c r="B56" s="13">
        <f>+SUM(B51:B55)</f>
        <v>153982</v>
      </c>
      <c r="C56" s="13">
        <f t="shared" ref="C56:D56" si="21">+SUM(C51:C55)</f>
        <v>125481</v>
      </c>
      <c r="D56" s="13">
        <f t="shared" si="21"/>
        <v>105392</v>
      </c>
      <c r="E56" s="41">
        <f t="shared" ref="E56" si="22">+SUM(E51:E55)</f>
        <v>105718</v>
      </c>
    </row>
    <row r="57" spans="1:5" x14ac:dyDescent="0.25">
      <c r="A57" t="s">
        <v>51</v>
      </c>
      <c r="B57" s="12"/>
      <c r="C57" s="12"/>
      <c r="D57" s="12"/>
      <c r="E57" s="40"/>
    </row>
    <row r="58" spans="1:5" x14ac:dyDescent="0.25">
      <c r="A58" s="1" t="s">
        <v>37</v>
      </c>
      <c r="B58" s="12"/>
      <c r="C58" s="12"/>
      <c r="D58" s="12"/>
      <c r="E58" s="40"/>
    </row>
    <row r="59" spans="1:5" x14ac:dyDescent="0.25">
      <c r="A59" s="1" t="s">
        <v>39</v>
      </c>
      <c r="B59" s="12">
        <v>98959</v>
      </c>
      <c r="C59" s="12">
        <v>109106</v>
      </c>
      <c r="D59" s="12">
        <v>98667</v>
      </c>
      <c r="E59" s="40">
        <v>91807</v>
      </c>
    </row>
    <row r="60" spans="1:5" x14ac:dyDescent="0.25">
      <c r="A60" s="1" t="s">
        <v>52</v>
      </c>
      <c r="B60" s="12">
        <v>49142</v>
      </c>
      <c r="C60" s="12">
        <v>53325</v>
      </c>
      <c r="D60" s="12">
        <v>54490</v>
      </c>
      <c r="E60" s="40">
        <v>50503</v>
      </c>
    </row>
    <row r="61" spans="1:5" x14ac:dyDescent="0.25">
      <c r="A61" s="22" t="s">
        <v>53</v>
      </c>
      <c r="B61" s="21">
        <f>+B59+B60</f>
        <v>148101</v>
      </c>
      <c r="C61" s="21">
        <f t="shared" ref="C61:D61" si="23">+C59+C60</f>
        <v>162431</v>
      </c>
      <c r="D61" s="21">
        <f t="shared" si="23"/>
        <v>153157</v>
      </c>
      <c r="E61" s="45">
        <f t="shared" ref="E61" si="24">+E59+E60</f>
        <v>142310</v>
      </c>
    </row>
    <row r="62" spans="1:5" x14ac:dyDescent="0.25">
      <c r="A62" s="8" t="s">
        <v>41</v>
      </c>
      <c r="B62" s="13">
        <f>+B56+B61</f>
        <v>302083</v>
      </c>
      <c r="C62" s="13">
        <f t="shared" ref="C62:D62" si="25">+C56+C61</f>
        <v>287912</v>
      </c>
      <c r="D62" s="13">
        <f t="shared" si="25"/>
        <v>258549</v>
      </c>
      <c r="E62" s="41">
        <f t="shared" ref="E62" si="26">+E56+E61</f>
        <v>248028</v>
      </c>
    </row>
    <row r="63" spans="1:5" x14ac:dyDescent="0.25">
      <c r="B63" s="12"/>
      <c r="C63" s="12"/>
      <c r="D63" s="12"/>
      <c r="E63" s="40"/>
    </row>
    <row r="64" spans="1:5" x14ac:dyDescent="0.25">
      <c r="A64" t="s">
        <v>42</v>
      </c>
      <c r="B64" s="12"/>
      <c r="C64" s="12"/>
      <c r="D64" s="12"/>
      <c r="E64" s="40"/>
    </row>
    <row r="65" spans="1:12" x14ac:dyDescent="0.25">
      <c r="A65" s="1" t="s">
        <v>54</v>
      </c>
      <c r="B65" s="12">
        <v>64849</v>
      </c>
      <c r="C65" s="12">
        <v>57365</v>
      </c>
      <c r="D65" s="12">
        <v>50779</v>
      </c>
      <c r="E65" s="40">
        <v>45174</v>
      </c>
    </row>
    <row r="66" spans="1:12" x14ac:dyDescent="0.25">
      <c r="A66" s="1" t="s">
        <v>43</v>
      </c>
      <c r="B66" s="12">
        <v>-3068</v>
      </c>
      <c r="C66" s="12">
        <v>5562</v>
      </c>
      <c r="D66" s="12">
        <v>14966</v>
      </c>
      <c r="E66" s="40">
        <v>45898</v>
      </c>
    </row>
    <row r="67" spans="1:12" x14ac:dyDescent="0.25">
      <c r="A67" s="1" t="s">
        <v>44</v>
      </c>
      <c r="B67" s="12">
        <v>-11109</v>
      </c>
      <c r="C67" s="12">
        <v>163</v>
      </c>
      <c r="D67" s="12">
        <v>-406</v>
      </c>
      <c r="E67" s="40">
        <v>-584</v>
      </c>
    </row>
    <row r="68" spans="1:12" x14ac:dyDescent="0.25">
      <c r="A68" s="8" t="s">
        <v>45</v>
      </c>
      <c r="B68" s="13">
        <f>+SUM(B65:B67)</f>
        <v>50672</v>
      </c>
      <c r="C68" s="13">
        <f t="shared" ref="C68:D68" si="27">+SUM(C65:C67)</f>
        <v>63090</v>
      </c>
      <c r="D68" s="13">
        <f t="shared" si="27"/>
        <v>65339</v>
      </c>
      <c r="E68" s="41">
        <f t="shared" ref="E68" si="28">+SUM(E65:E67)</f>
        <v>90488</v>
      </c>
    </row>
    <row r="69" spans="1:12" ht="15.75" thickBot="1" x14ac:dyDescent="0.3">
      <c r="A69" s="9" t="s">
        <v>46</v>
      </c>
      <c r="B69" s="14">
        <f>+B68+B62</f>
        <v>352755</v>
      </c>
      <c r="C69" s="14">
        <f t="shared" ref="C69:D69" si="29">+C68+C62</f>
        <v>351002</v>
      </c>
      <c r="D69" s="14">
        <f t="shared" si="29"/>
        <v>323888</v>
      </c>
      <c r="E69" s="42">
        <f t="shared" ref="E69" si="30">+E68+E62</f>
        <v>338516</v>
      </c>
    </row>
    <row r="70" spans="1:12" ht="15.75" thickTop="1" x14ac:dyDescent="0.25"/>
    <row r="71" spans="1:12" x14ac:dyDescent="0.25">
      <c r="A71" s="24" t="s">
        <v>55</v>
      </c>
      <c r="B71" s="24"/>
      <c r="C71" s="24"/>
      <c r="D71" s="24"/>
    </row>
    <row r="72" spans="1:12" x14ac:dyDescent="0.25">
      <c r="B72" s="23" t="s">
        <v>23</v>
      </c>
      <c r="C72" s="23"/>
      <c r="D72" s="23"/>
      <c r="E72" s="38" t="s">
        <v>195</v>
      </c>
    </row>
    <row r="73" spans="1:12" x14ac:dyDescent="0.25">
      <c r="B73" s="7">
        <f>+B33</f>
        <v>2022</v>
      </c>
      <c r="C73" s="7">
        <f t="shared" ref="C73:D73" si="31">+C33</f>
        <v>2021</v>
      </c>
      <c r="D73" s="7">
        <f t="shared" si="31"/>
        <v>2020</v>
      </c>
      <c r="E73" s="37">
        <v>2019</v>
      </c>
    </row>
    <row r="75" spans="1:12" x14ac:dyDescent="0.25">
      <c r="A75" s="7" t="s">
        <v>56</v>
      </c>
      <c r="B75" s="15"/>
      <c r="C75" s="15"/>
      <c r="D75" s="15"/>
    </row>
    <row r="76" spans="1:12" x14ac:dyDescent="0.25">
      <c r="A76" t="s">
        <v>57</v>
      </c>
      <c r="B76" s="12">
        <f>+B22</f>
        <v>99803</v>
      </c>
      <c r="C76" s="12">
        <f t="shared" ref="C76:D76" si="32">+C22</f>
        <v>94680</v>
      </c>
      <c r="D76" s="12">
        <f t="shared" si="32"/>
        <v>57411</v>
      </c>
      <c r="E76" s="40">
        <f t="shared" ref="E76" si="33">+E22</f>
        <v>55256</v>
      </c>
      <c r="K76" s="7" t="s">
        <v>204</v>
      </c>
    </row>
    <row r="77" spans="1:12" x14ac:dyDescent="0.25">
      <c r="A77" s="11" t="s">
        <v>18</v>
      </c>
      <c r="B77" s="15"/>
      <c r="C77" s="15"/>
      <c r="D77" s="15"/>
      <c r="E77" s="46"/>
      <c r="K77" t="s">
        <v>171</v>
      </c>
      <c r="L77" t="s">
        <v>175</v>
      </c>
    </row>
    <row r="78" spans="1:12" x14ac:dyDescent="0.25">
      <c r="A78" s="1" t="s">
        <v>58</v>
      </c>
      <c r="B78" s="12"/>
      <c r="C78" s="12"/>
      <c r="D78" s="12"/>
      <c r="E78" s="40"/>
      <c r="K78" t="s">
        <v>172</v>
      </c>
      <c r="L78" t="s">
        <v>179</v>
      </c>
    </row>
    <row r="79" spans="1:12" x14ac:dyDescent="0.25">
      <c r="A79" s="3" t="s">
        <v>59</v>
      </c>
      <c r="B79" s="12">
        <v>11104</v>
      </c>
      <c r="C79" s="12">
        <v>11284</v>
      </c>
      <c r="D79" s="12">
        <v>11056</v>
      </c>
      <c r="E79" s="40">
        <v>12547</v>
      </c>
      <c r="K79" t="s">
        <v>173</v>
      </c>
      <c r="L79" t="s">
        <v>177</v>
      </c>
    </row>
    <row r="80" spans="1:12" x14ac:dyDescent="0.25">
      <c r="A80" s="3" t="s">
        <v>83</v>
      </c>
      <c r="B80" s="12">
        <v>9038</v>
      </c>
      <c r="C80" s="12">
        <v>7906</v>
      </c>
      <c r="D80" s="12">
        <v>6829</v>
      </c>
      <c r="E80" s="40">
        <v>6068</v>
      </c>
      <c r="K80" t="s">
        <v>174</v>
      </c>
      <c r="L80" t="s">
        <v>176</v>
      </c>
    </row>
    <row r="81" spans="1:12" x14ac:dyDescent="0.25">
      <c r="A81" s="49" t="s">
        <v>60</v>
      </c>
      <c r="B81" s="12">
        <v>895</v>
      </c>
      <c r="C81" s="12">
        <v>-4774</v>
      </c>
      <c r="D81" s="12">
        <v>-215</v>
      </c>
      <c r="E81" s="40">
        <v>-340</v>
      </c>
      <c r="K81" t="s">
        <v>172</v>
      </c>
      <c r="L81" t="s">
        <v>179</v>
      </c>
    </row>
    <row r="82" spans="1:12" x14ac:dyDescent="0.25">
      <c r="A82" s="3" t="s">
        <v>61</v>
      </c>
      <c r="B82" s="12">
        <v>111</v>
      </c>
      <c r="C82" s="12">
        <v>-147</v>
      </c>
      <c r="D82" s="12">
        <v>-97</v>
      </c>
      <c r="E82" s="40">
        <v>-652</v>
      </c>
      <c r="K82" t="s">
        <v>171</v>
      </c>
      <c r="L82" t="s">
        <v>178</v>
      </c>
    </row>
    <row r="83" spans="1:12" x14ac:dyDescent="0.25">
      <c r="A83" t="s">
        <v>62</v>
      </c>
      <c r="B83" s="12"/>
      <c r="C83" s="12"/>
      <c r="D83" s="12"/>
      <c r="E83" s="40"/>
    </row>
    <row r="84" spans="1:12" x14ac:dyDescent="0.25">
      <c r="A84" s="1" t="s">
        <v>28</v>
      </c>
      <c r="B84" s="12">
        <v>-1823</v>
      </c>
      <c r="C84" s="12">
        <v>-10125</v>
      </c>
      <c r="D84" s="12">
        <v>6917</v>
      </c>
      <c r="E84" s="40">
        <v>245</v>
      </c>
    </row>
    <row r="85" spans="1:12" x14ac:dyDescent="0.25">
      <c r="A85" s="1" t="s">
        <v>29</v>
      </c>
      <c r="B85" s="12">
        <v>1484</v>
      </c>
      <c r="C85" s="12">
        <v>-2642</v>
      </c>
      <c r="D85" s="12">
        <v>-127</v>
      </c>
      <c r="E85" s="40">
        <v>-289</v>
      </c>
      <c r="J85">
        <v>2022</v>
      </c>
      <c r="K85">
        <v>2021</v>
      </c>
      <c r="L85">
        <v>2020</v>
      </c>
    </row>
    <row r="86" spans="1:12" x14ac:dyDescent="0.25">
      <c r="A86" s="1" t="s">
        <v>47</v>
      </c>
      <c r="B86" s="12">
        <v>-7520</v>
      </c>
      <c r="C86" s="12">
        <v>-3903</v>
      </c>
      <c r="D86" s="12">
        <v>1553</v>
      </c>
      <c r="E86" s="40">
        <v>2931</v>
      </c>
      <c r="H86" t="s">
        <v>180</v>
      </c>
      <c r="J86" t="s">
        <v>183</v>
      </c>
      <c r="K86" t="s">
        <v>182</v>
      </c>
      <c r="L86" t="s">
        <v>181</v>
      </c>
    </row>
    <row r="87" spans="1:12" x14ac:dyDescent="0.25">
      <c r="A87" s="1" t="s">
        <v>84</v>
      </c>
      <c r="B87" s="12">
        <v>-6499</v>
      </c>
      <c r="C87" s="12">
        <v>-8042</v>
      </c>
      <c r="D87" s="12">
        <v>-9588</v>
      </c>
      <c r="E87" s="40">
        <v>873</v>
      </c>
    </row>
    <row r="88" spans="1:12" x14ac:dyDescent="0.25">
      <c r="A88" s="1" t="s">
        <v>35</v>
      </c>
      <c r="B88" s="12">
        <v>9448</v>
      </c>
      <c r="C88" s="12">
        <v>12326</v>
      </c>
      <c r="D88" s="12">
        <v>-4062</v>
      </c>
      <c r="E88" s="40">
        <v>-1923</v>
      </c>
    </row>
    <row r="89" spans="1:12" x14ac:dyDescent="0.25">
      <c r="A89" s="1" t="s">
        <v>37</v>
      </c>
      <c r="B89" s="12">
        <v>478</v>
      </c>
      <c r="C89" s="12">
        <v>1676</v>
      </c>
      <c r="D89" s="12">
        <v>2081</v>
      </c>
      <c r="E89" s="40">
        <v>-625</v>
      </c>
      <c r="H89" t="s">
        <v>184</v>
      </c>
      <c r="K89">
        <f>4061-127</f>
        <v>3934</v>
      </c>
    </row>
    <row r="90" spans="1:12" x14ac:dyDescent="0.25">
      <c r="A90" s="1" t="s">
        <v>85</v>
      </c>
      <c r="B90" s="12">
        <v>5632</v>
      </c>
      <c r="C90" s="12">
        <v>5799</v>
      </c>
      <c r="D90" s="12">
        <v>8916</v>
      </c>
      <c r="E90" s="40">
        <v>-4700</v>
      </c>
    </row>
    <row r="91" spans="1:12" x14ac:dyDescent="0.25">
      <c r="A91" s="8" t="s">
        <v>63</v>
      </c>
      <c r="B91" s="13">
        <f>+SUM(B76:B90)</f>
        <v>122151</v>
      </c>
      <c r="C91" s="13">
        <f t="shared" ref="C91:D91" si="34">+SUM(C76:C90)</f>
        <v>104038</v>
      </c>
      <c r="D91" s="13">
        <f t="shared" si="34"/>
        <v>80674</v>
      </c>
      <c r="E91" s="41">
        <f t="shared" ref="E91" si="35">+SUM(E76:E90)</f>
        <v>69391</v>
      </c>
      <c r="H91" t="s">
        <v>185</v>
      </c>
      <c r="K91" s="33">
        <f>D51-D88</f>
        <v>46358</v>
      </c>
    </row>
    <row r="92" spans="1:12" x14ac:dyDescent="0.25">
      <c r="A92" s="7" t="s">
        <v>64</v>
      </c>
      <c r="B92" s="12"/>
      <c r="C92" s="12"/>
      <c r="D92" s="12"/>
      <c r="E92" s="40"/>
    </row>
    <row r="93" spans="1:12" x14ac:dyDescent="0.25">
      <c r="A93" s="1" t="s">
        <v>65</v>
      </c>
      <c r="B93" s="12">
        <v>-76923</v>
      </c>
      <c r="C93" s="12">
        <v>-109558</v>
      </c>
      <c r="D93" s="12">
        <v>-114938</v>
      </c>
      <c r="E93" s="40">
        <v>-39630</v>
      </c>
      <c r="H93" t="s">
        <v>186</v>
      </c>
      <c r="K93" s="33">
        <f>D38+6917</f>
        <v>23037</v>
      </c>
    </row>
    <row r="94" spans="1:12" x14ac:dyDescent="0.25">
      <c r="A94" s="1" t="s">
        <v>66</v>
      </c>
      <c r="B94" s="12">
        <v>29917</v>
      </c>
      <c r="C94" s="12">
        <v>59023</v>
      </c>
      <c r="D94" s="12">
        <v>69918</v>
      </c>
      <c r="E94" s="40">
        <v>40102</v>
      </c>
    </row>
    <row r="95" spans="1:12" x14ac:dyDescent="0.25">
      <c r="A95" s="1" t="s">
        <v>67</v>
      </c>
      <c r="B95" s="12">
        <v>37446</v>
      </c>
      <c r="C95" s="12">
        <v>47460</v>
      </c>
      <c r="D95" s="12">
        <v>50473</v>
      </c>
      <c r="E95" s="40">
        <v>56988</v>
      </c>
    </row>
    <row r="96" spans="1:12" x14ac:dyDescent="0.25">
      <c r="A96" s="1" t="s">
        <v>68</v>
      </c>
      <c r="B96" s="12">
        <v>-10708</v>
      </c>
      <c r="C96" s="12">
        <v>-11085</v>
      </c>
      <c r="D96" s="12">
        <v>-7309</v>
      </c>
      <c r="E96" s="40">
        <v>-10495</v>
      </c>
      <c r="J96">
        <v>2022</v>
      </c>
      <c r="K96">
        <v>2021</v>
      </c>
      <c r="L96">
        <v>2020</v>
      </c>
    </row>
    <row r="97" spans="1:12" x14ac:dyDescent="0.25">
      <c r="A97" s="1" t="s">
        <v>69</v>
      </c>
      <c r="B97" s="12">
        <v>-306</v>
      </c>
      <c r="C97" s="12">
        <v>-33</v>
      </c>
      <c r="D97" s="12">
        <v>-1524</v>
      </c>
      <c r="E97" s="40">
        <v>-624</v>
      </c>
      <c r="H97" t="s">
        <v>194</v>
      </c>
      <c r="J97" s="33">
        <f t="shared" ref="J97:K97" si="36">B21+B81-B101+B113</f>
        <v>45991</v>
      </c>
      <c r="K97" s="33">
        <f t="shared" si="36"/>
        <v>41694</v>
      </c>
      <c r="L97" s="33">
        <f>D21+D81-D101+D113</f>
        <v>22600</v>
      </c>
    </row>
    <row r="98" spans="1:12" x14ac:dyDescent="0.25">
      <c r="A98" s="1" t="s">
        <v>61</v>
      </c>
      <c r="B98" s="12">
        <v>-1780</v>
      </c>
      <c r="C98" s="12">
        <v>-352</v>
      </c>
      <c r="D98" s="12">
        <v>-909</v>
      </c>
      <c r="E98" s="40">
        <v>-445</v>
      </c>
    </row>
    <row r="99" spans="1:12" x14ac:dyDescent="0.25">
      <c r="A99" s="8" t="s">
        <v>70</v>
      </c>
      <c r="B99" s="13">
        <f>+SUM(B93:B98)</f>
        <v>-22354</v>
      </c>
      <c r="C99" s="13">
        <f t="shared" ref="C99:D99" si="37">+SUM(C93:C98)</f>
        <v>-14545</v>
      </c>
      <c r="D99" s="13">
        <f t="shared" si="37"/>
        <v>-4289</v>
      </c>
      <c r="E99" s="41">
        <f t="shared" ref="E99" si="38">+SUM(E93:E98)</f>
        <v>45896</v>
      </c>
      <c r="H99" t="s">
        <v>193</v>
      </c>
      <c r="J99" s="33">
        <f t="shared" ref="J99:K99" si="39">B114</f>
        <v>2865</v>
      </c>
      <c r="K99" s="33">
        <f t="shared" si="39"/>
        <v>2687</v>
      </c>
      <c r="L99" s="33">
        <f>D114</f>
        <v>3002</v>
      </c>
    </row>
    <row r="100" spans="1:12" x14ac:dyDescent="0.25">
      <c r="A100" s="7" t="s">
        <v>71</v>
      </c>
      <c r="B100" s="12"/>
      <c r="C100" s="12"/>
      <c r="D100" s="12"/>
      <c r="E100" s="40"/>
    </row>
    <row r="101" spans="1:12" x14ac:dyDescent="0.25">
      <c r="A101" s="47" t="s">
        <v>86</v>
      </c>
      <c r="B101" s="12">
        <v>-6223</v>
      </c>
      <c r="C101" s="12">
        <v>-6556</v>
      </c>
      <c r="D101" s="12">
        <v>-3634</v>
      </c>
      <c r="E101" s="40">
        <v>-2817</v>
      </c>
    </row>
    <row r="102" spans="1:12" x14ac:dyDescent="0.25">
      <c r="A102" s="47" t="s">
        <v>72</v>
      </c>
      <c r="B102" s="12">
        <v>-14841</v>
      </c>
      <c r="C102" s="12">
        <v>-14467</v>
      </c>
      <c r="D102" s="12">
        <v>-14081</v>
      </c>
      <c r="E102" s="40">
        <v>-14119</v>
      </c>
    </row>
    <row r="103" spans="1:12" x14ac:dyDescent="0.25">
      <c r="A103" s="1" t="s">
        <v>73</v>
      </c>
      <c r="B103" s="12">
        <v>-89402</v>
      </c>
      <c r="C103" s="12">
        <v>-85971</v>
      </c>
      <c r="D103" s="12">
        <v>-72358</v>
      </c>
      <c r="E103" s="40">
        <v>-66897</v>
      </c>
    </row>
    <row r="104" spans="1:12" x14ac:dyDescent="0.25">
      <c r="A104" s="1" t="s">
        <v>74</v>
      </c>
      <c r="B104" s="12">
        <v>5465</v>
      </c>
      <c r="C104" s="12">
        <v>20393</v>
      </c>
      <c r="D104" s="12">
        <v>16091</v>
      </c>
      <c r="E104" s="40">
        <v>6963</v>
      </c>
    </row>
    <row r="105" spans="1:12" x14ac:dyDescent="0.25">
      <c r="A105" s="1" t="s">
        <v>75</v>
      </c>
      <c r="B105" s="12">
        <v>-9543</v>
      </c>
      <c r="C105" s="12">
        <v>-8750</v>
      </c>
      <c r="D105" s="12">
        <v>-12629</v>
      </c>
      <c r="E105" s="40">
        <v>-8805</v>
      </c>
    </row>
    <row r="106" spans="1:12" x14ac:dyDescent="0.25">
      <c r="A106" s="1" t="s">
        <v>76</v>
      </c>
      <c r="B106" s="12">
        <v>3955</v>
      </c>
      <c r="C106" s="12">
        <v>1022</v>
      </c>
      <c r="D106" s="12">
        <v>-963</v>
      </c>
      <c r="E106" s="40">
        <v>-5977</v>
      </c>
    </row>
    <row r="107" spans="1:12" x14ac:dyDescent="0.25">
      <c r="A107" s="1" t="s">
        <v>61</v>
      </c>
      <c r="B107" s="12">
        <v>-160</v>
      </c>
      <c r="C107" s="12">
        <v>976</v>
      </c>
      <c r="D107" s="12">
        <v>754</v>
      </c>
      <c r="E107" s="40">
        <v>676</v>
      </c>
    </row>
    <row r="108" spans="1:12" x14ac:dyDescent="0.25">
      <c r="A108" s="8" t="s">
        <v>77</v>
      </c>
      <c r="B108" s="13">
        <f>+SUM(B101:B107)</f>
        <v>-110749</v>
      </c>
      <c r="C108" s="13">
        <f t="shared" ref="C108:D108" si="40">+SUM(C101:C107)</f>
        <v>-93353</v>
      </c>
      <c r="D108" s="13">
        <f t="shared" si="40"/>
        <v>-86820</v>
      </c>
      <c r="E108" s="41">
        <f t="shared" ref="E108" si="41">+SUM(E101:E107)</f>
        <v>-90976</v>
      </c>
    </row>
    <row r="109" spans="1:12" x14ac:dyDescent="0.25">
      <c r="A109" s="8" t="s">
        <v>78</v>
      </c>
      <c r="B109" s="13">
        <f>+B91+B99+B108</f>
        <v>-10952</v>
      </c>
      <c r="C109" s="13">
        <f t="shared" ref="C109:D109" si="42">+C91+C99+C108</f>
        <v>-3860</v>
      </c>
      <c r="D109" s="13">
        <f t="shared" si="42"/>
        <v>-10435</v>
      </c>
      <c r="E109" s="41">
        <f t="shared" ref="E109" si="43">+E91+E99+E108</f>
        <v>24311</v>
      </c>
    </row>
    <row r="110" spans="1:12" ht="15.75" thickBot="1" x14ac:dyDescent="0.3">
      <c r="A110" s="9" t="s">
        <v>79</v>
      </c>
      <c r="B110" s="14">
        <v>24977</v>
      </c>
      <c r="C110" s="14">
        <v>35929</v>
      </c>
      <c r="D110" s="14">
        <v>39789</v>
      </c>
      <c r="E110" s="42">
        <v>50224</v>
      </c>
    </row>
    <row r="111" spans="1:12" ht="15.75" thickTop="1" x14ac:dyDescent="0.25">
      <c r="B111" s="12"/>
      <c r="C111" s="12"/>
      <c r="D111" s="12"/>
      <c r="E111" s="40"/>
    </row>
    <row r="112" spans="1:12" x14ac:dyDescent="0.25">
      <c r="A112" t="s">
        <v>80</v>
      </c>
      <c r="B112" s="12"/>
      <c r="C112" s="12"/>
      <c r="D112" s="12"/>
      <c r="E112" s="40"/>
    </row>
    <row r="113" spans="1:5" x14ac:dyDescent="0.25">
      <c r="A113" s="48" t="s">
        <v>81</v>
      </c>
      <c r="B113" s="12">
        <v>19573</v>
      </c>
      <c r="C113" s="12">
        <v>25385</v>
      </c>
      <c r="D113" s="12">
        <v>9501</v>
      </c>
      <c r="E113" s="40">
        <v>15263</v>
      </c>
    </row>
    <row r="114" spans="1:5" x14ac:dyDescent="0.25">
      <c r="A114" s="48" t="s">
        <v>82</v>
      </c>
      <c r="B114" s="12">
        <v>2865</v>
      </c>
      <c r="C114" s="12">
        <v>2687</v>
      </c>
      <c r="D114" s="12">
        <v>3002</v>
      </c>
      <c r="E114" s="40">
        <v>3423</v>
      </c>
    </row>
    <row r="117" spans="1:5" ht="75" x14ac:dyDescent="0.25">
      <c r="A117" s="50" t="s">
        <v>202</v>
      </c>
      <c r="B117">
        <v>138.19999999999999</v>
      </c>
      <c r="C117">
        <v>141.5</v>
      </c>
      <c r="D117">
        <v>115.81</v>
      </c>
    </row>
    <row r="118" spans="1:5" x14ac:dyDescent="0.25">
      <c r="A118" t="s">
        <v>203</v>
      </c>
      <c r="B118">
        <v>16030</v>
      </c>
      <c r="C118">
        <v>16490</v>
      </c>
      <c r="D118">
        <v>17060</v>
      </c>
    </row>
    <row r="119" spans="1:5" x14ac:dyDescent="0.25">
      <c r="A119" s="50" t="s">
        <v>200</v>
      </c>
      <c r="B119">
        <f t="shared" ref="B119:C119" si="44">B117*B118</f>
        <v>2215346</v>
      </c>
      <c r="C119">
        <f t="shared" si="44"/>
        <v>2333335</v>
      </c>
      <c r="D119">
        <f>D117*D118</f>
        <v>1975718.6</v>
      </c>
    </row>
  </sheetData>
  <mergeCells count="6">
    <mergeCell ref="B3:D3"/>
    <mergeCell ref="B32:D32"/>
    <mergeCell ref="B72:D72"/>
    <mergeCell ref="A2:D2"/>
    <mergeCell ref="A31:D31"/>
    <mergeCell ref="A71:D7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X97"/>
  <sheetViews>
    <sheetView workbookViewId="0">
      <pane ySplit="3" topLeftCell="A4" activePane="bottomLeft" state="frozen"/>
      <selection pane="bottomLeft" activeCell="D77" sqref="D77"/>
    </sheetView>
  </sheetViews>
  <sheetFormatPr defaultRowHeight="15" x14ac:dyDescent="0.25"/>
  <cols>
    <col min="1" max="1" width="4.7109375" customWidth="1"/>
    <col min="2" max="2" width="49.42578125" customWidth="1"/>
    <col min="3" max="4" width="12.5703125" bestFit="1" customWidth="1"/>
    <col min="5" max="5" width="12.7109375" bestFit="1" customWidth="1"/>
    <col min="7" max="7" width="13.28515625" customWidth="1"/>
  </cols>
  <sheetData>
    <row r="1" spans="1:24" ht="60" customHeight="1" x14ac:dyDescent="0.4">
      <c r="A1" s="6"/>
      <c r="B1" s="20" t="s">
        <v>0</v>
      </c>
      <c r="C1" s="19"/>
      <c r="D1" s="19"/>
      <c r="E1" s="19"/>
      <c r="F1" s="19"/>
      <c r="G1" s="19"/>
      <c r="H1" s="19"/>
      <c r="I1" s="19"/>
      <c r="J1" s="19"/>
      <c r="K1" s="19"/>
    </row>
    <row r="2" spans="1:24" x14ac:dyDescent="0.25">
      <c r="C2" s="23" t="s">
        <v>23</v>
      </c>
      <c r="D2" s="23"/>
      <c r="E2" s="23"/>
    </row>
    <row r="3" spans="1:24" x14ac:dyDescent="0.25">
      <c r="C3" s="7">
        <f>+'Financial Statements'!B4</f>
        <v>2022</v>
      </c>
      <c r="D3" s="7">
        <f>+'Financial Statements'!C4</f>
        <v>2021</v>
      </c>
      <c r="E3" s="7">
        <f>+'Financial Statements'!D4</f>
        <v>2020</v>
      </c>
      <c r="G3" t="s">
        <v>197</v>
      </c>
    </row>
    <row r="4" spans="1:24" x14ac:dyDescent="0.25">
      <c r="A4" s="18">
        <v>1</v>
      </c>
      <c r="B4" s="7" t="s">
        <v>99</v>
      </c>
    </row>
    <row r="5" spans="1:24" x14ac:dyDescent="0.25">
      <c r="A5" s="18">
        <f>+A4+0.1</f>
        <v>1.1000000000000001</v>
      </c>
      <c r="B5" s="1" t="s">
        <v>100</v>
      </c>
      <c r="C5" s="30">
        <f>'Financial Statements'!B42/'Financial Statements'!B56</f>
        <v>0.87935602862672257</v>
      </c>
      <c r="D5" s="30">
        <f>'Financial Statements'!C42/'Financial Statements'!C56</f>
        <v>1.0745531195957954</v>
      </c>
      <c r="E5" s="30">
        <f>'Financial Statements'!D42/'Financial Statements'!D56</f>
        <v>1.3636044481554577</v>
      </c>
      <c r="G5" t="s">
        <v>198</v>
      </c>
      <c r="S5" t="s">
        <v>165</v>
      </c>
    </row>
    <row r="6" spans="1:24" x14ac:dyDescent="0.25">
      <c r="A6" s="18">
        <f t="shared" ref="A6:A13" si="0">+A5+0.1</f>
        <v>1.2000000000000002</v>
      </c>
      <c r="B6" s="1" t="s">
        <v>101</v>
      </c>
      <c r="C6" s="30">
        <f>('Financial Statements'!B42-'Financial Statements'!B39)/'Financial Statements'!B56</f>
        <v>0.84723539114961488</v>
      </c>
      <c r="D6" s="30">
        <f>('Financial Statements'!C42-'Financial Statements'!C39)/'Financial Statements'!C56</f>
        <v>1.0221149018576519</v>
      </c>
      <c r="E6" s="30">
        <f>('Financial Statements'!D42-'Financial Statements'!D39)/'Financial Statements'!D56</f>
        <v>1.325072111735236</v>
      </c>
      <c r="G6" t="s">
        <v>198</v>
      </c>
      <c r="V6">
        <v>2022</v>
      </c>
      <c r="W6">
        <v>2021</v>
      </c>
      <c r="X6">
        <v>2020</v>
      </c>
    </row>
    <row r="7" spans="1:24" x14ac:dyDescent="0.25">
      <c r="A7" s="18">
        <f t="shared" si="0"/>
        <v>1.3000000000000003</v>
      </c>
      <c r="B7" s="1" t="s">
        <v>102</v>
      </c>
      <c r="C7" s="30">
        <f>'Financial Statements'!B36/'Financial Statements'!B56</f>
        <v>0.15356340351469652</v>
      </c>
      <c r="D7" s="30">
        <f>'Financial Statements'!C36/'Financial Statements'!C56</f>
        <v>0.27844853005634318</v>
      </c>
      <c r="E7" s="30">
        <f>'Financial Statements'!D36/'Financial Statements'!D56</f>
        <v>0.36071049035979963</v>
      </c>
      <c r="G7" t="s">
        <v>198</v>
      </c>
      <c r="R7" t="s">
        <v>166</v>
      </c>
      <c r="V7">
        <v>0</v>
      </c>
      <c r="W7">
        <v>0</v>
      </c>
      <c r="X7">
        <v>0</v>
      </c>
    </row>
    <row r="8" spans="1:24" x14ac:dyDescent="0.25">
      <c r="A8" s="18">
        <f t="shared" si="0"/>
        <v>1.4000000000000004</v>
      </c>
      <c r="B8" s="1" t="s">
        <v>187</v>
      </c>
      <c r="C8" s="31">
        <f>('Financial Statements'!B36+'Financial Statements'!B37+'Financial Statements'!B38+'Financial Statements'!B40)/(('Financial Statements'!B17-0)/365)</f>
        <v>776.53403447268477</v>
      </c>
      <c r="D8" s="31">
        <f>('Financial Statements'!C36+'Financial Statements'!C37+'Financial Statements'!C38+'Financial Statements'!C40)/(('Financial Statements'!C17-0)/365)</f>
        <v>949.32269236903869</v>
      </c>
      <c r="E8" s="31">
        <f>('Financial Statements'!D36+'Financial Statements'!D37+'Financial Statements'!D38+'Financial Statements'!D40)/(('Financial Statements'!D17-0)/365)</f>
        <v>1211.8966587359057</v>
      </c>
      <c r="G8" t="s">
        <v>205</v>
      </c>
      <c r="H8" t="s">
        <v>164</v>
      </c>
      <c r="R8" t="s">
        <v>167</v>
      </c>
      <c r="V8">
        <v>0</v>
      </c>
      <c r="W8">
        <v>0</v>
      </c>
      <c r="X8">
        <v>0</v>
      </c>
    </row>
    <row r="9" spans="1:24" x14ac:dyDescent="0.25">
      <c r="A9" s="18">
        <f t="shared" si="0"/>
        <v>1.5000000000000004</v>
      </c>
      <c r="B9" s="1" t="s">
        <v>188</v>
      </c>
      <c r="C9" s="31">
        <f>((('Financial Statements'!C39+'Financial Statements'!B39)/2)/'Financial Statements'!B12)*365</f>
        <v>9.4096740715557434</v>
      </c>
      <c r="D9" s="31">
        <f>((('Financial Statements'!D39+'Financial Statements'!C39)/2)/'Financial Statements'!C12)*365</f>
        <v>9.1181020842234748</v>
      </c>
      <c r="E9" s="31">
        <f>((('Financial Statements'!E39+'Financial Statements'!D39)/2)/'Financial Statements'!D12)*365</f>
        <v>8.7903178244740765</v>
      </c>
      <c r="G9" t="s">
        <v>205</v>
      </c>
      <c r="R9" t="s">
        <v>103</v>
      </c>
      <c r="V9">
        <f>C9</f>
        <v>9.4096740715557434</v>
      </c>
      <c r="W9">
        <f>D9</f>
        <v>9.1181020842234748</v>
      </c>
      <c r="X9">
        <f>E9</f>
        <v>8.7903178244740765</v>
      </c>
    </row>
    <row r="10" spans="1:24" x14ac:dyDescent="0.25">
      <c r="A10" s="18">
        <f t="shared" si="0"/>
        <v>1.6000000000000005</v>
      </c>
      <c r="B10" s="1" t="s">
        <v>189</v>
      </c>
      <c r="C10" s="31">
        <f>((('Financial Statements'!B51+'Financial Statements'!C51)/2)/'Financial Statements'!B12)*365</f>
        <v>97.050428099809452</v>
      </c>
      <c r="D10" s="31">
        <f>((('Financial Statements'!C51+'Financial Statements'!D51)/2)/'Financial Statements'!C12)*365</f>
        <v>83.168299050150011</v>
      </c>
      <c r="E10" s="31">
        <f>((('Financial Statements'!D51-'Financial Statements'!D88+'Financial Statements'!D51)/2)/'Financial Statements'!D12)*365</f>
        <v>95.42020771530855</v>
      </c>
      <c r="G10" t="s">
        <v>205</v>
      </c>
      <c r="R10" t="s">
        <v>168</v>
      </c>
      <c r="V10">
        <f>C11</f>
        <v>25.205704388225033</v>
      </c>
      <c r="W10">
        <f>D11</f>
        <v>21.151655062503931</v>
      </c>
      <c r="X10">
        <f>E11</f>
        <v>15.315201355117205</v>
      </c>
    </row>
    <row r="11" spans="1:24" x14ac:dyDescent="0.25">
      <c r="A11" s="18">
        <f t="shared" si="0"/>
        <v>1.7000000000000006</v>
      </c>
      <c r="B11" s="1" t="s">
        <v>190</v>
      </c>
      <c r="C11" s="31">
        <f>((('Financial Statements'!B38+'Financial Statements'!C38)/2)/'Financial Statements'!B8)*365</f>
        <v>25.205704388225033</v>
      </c>
      <c r="D11" s="31">
        <f>((('Financial Statements'!C38+'Financial Statements'!D38)/2)/'Financial Statements'!C8)*365</f>
        <v>21.151655062503931</v>
      </c>
      <c r="E11" s="31">
        <f>((('Financial Statements'!D38+'Financial Statements'!D84)/2)/'Financial Statements'!D8)*365</f>
        <v>15.315201355117205</v>
      </c>
      <c r="G11" t="s">
        <v>205</v>
      </c>
      <c r="R11" t="s">
        <v>169</v>
      </c>
      <c r="V11">
        <f>-C10</f>
        <v>-97.050428099809452</v>
      </c>
      <c r="W11">
        <f>-D10</f>
        <v>-83.168299050150011</v>
      </c>
      <c r="X11">
        <f>-E10</f>
        <v>-95.42020771530855</v>
      </c>
    </row>
    <row r="12" spans="1:24" x14ac:dyDescent="0.25">
      <c r="A12" s="18">
        <f t="shared" si="0"/>
        <v>1.8000000000000007</v>
      </c>
      <c r="B12" s="1" t="s">
        <v>191</v>
      </c>
      <c r="C12" s="34">
        <f>V13</f>
        <v>-62.435049640028673</v>
      </c>
      <c r="D12" s="34">
        <f t="shared" ref="D12:E12" si="1">W13</f>
        <v>-52.898541903422604</v>
      </c>
      <c r="E12" s="34">
        <f t="shared" si="1"/>
        <v>-71.314688535717266</v>
      </c>
      <c r="G12" t="s">
        <v>205</v>
      </c>
      <c r="H12" s="35" t="s">
        <v>192</v>
      </c>
    </row>
    <row r="13" spans="1:24" ht="15.75" thickBot="1" x14ac:dyDescent="0.3">
      <c r="A13" s="18">
        <f t="shared" si="0"/>
        <v>1.9000000000000008</v>
      </c>
      <c r="B13" s="1" t="s">
        <v>104</v>
      </c>
      <c r="C13" s="28">
        <f>C14/'Financial Statements'!B8</f>
        <v>-4.711052727678481E-2</v>
      </c>
      <c r="D13" s="28">
        <f>D14/'Financial Statements'!C8</f>
        <v>2.557289573748623E-2</v>
      </c>
      <c r="E13" s="28">
        <f>E14/'Financial Statements'!D8</f>
        <v>0.13959528623208203</v>
      </c>
      <c r="G13" t="s">
        <v>198</v>
      </c>
      <c r="R13" t="s">
        <v>170</v>
      </c>
      <c r="V13" s="32">
        <f t="shared" ref="V13:W13" si="2">SUM(V7:V11)</f>
        <v>-62.435049640028673</v>
      </c>
      <c r="W13" s="32">
        <f t="shared" si="2"/>
        <v>-52.898541903422604</v>
      </c>
      <c r="X13" s="32">
        <f>SUM(X7:X11)</f>
        <v>-71.314688535717266</v>
      </c>
    </row>
    <row r="14" spans="1:24" x14ac:dyDescent="0.25">
      <c r="A14" s="18"/>
      <c r="B14" s="3" t="s">
        <v>105</v>
      </c>
      <c r="C14" s="51">
        <f>'Financial Statements'!B42-'Financial Statements'!B56</f>
        <v>-18577</v>
      </c>
      <c r="D14" s="36">
        <f>'Financial Statements'!C42-'Financial Statements'!C56</f>
        <v>9355</v>
      </c>
      <c r="E14" s="36">
        <f>'Financial Statements'!D42-'Financial Statements'!D56</f>
        <v>38321</v>
      </c>
      <c r="G14" t="s">
        <v>201</v>
      </c>
    </row>
    <row r="15" spans="1:24" x14ac:dyDescent="0.25">
      <c r="A15" s="18"/>
    </row>
    <row r="16" spans="1:24" x14ac:dyDescent="0.25">
      <c r="A16" s="18">
        <f>+A4+1</f>
        <v>2</v>
      </c>
      <c r="B16" s="17" t="s">
        <v>106</v>
      </c>
    </row>
    <row r="17" spans="1:8" x14ac:dyDescent="0.25">
      <c r="A17" s="18">
        <f>+A16+0.1</f>
        <v>2.1</v>
      </c>
      <c r="B17" s="1" t="s">
        <v>9</v>
      </c>
      <c r="C17" s="28">
        <f>'Financial Statements'!B13/'Financial Statements'!B8</f>
        <v>0.43309630561360085</v>
      </c>
      <c r="D17" s="28">
        <f>'Financial Statements'!C13/'Financial Statements'!C8</f>
        <v>0.41779359625167778</v>
      </c>
      <c r="E17" s="28">
        <f>'Financial Statements'!D13/'Financial Statements'!D8</f>
        <v>0.38233247727810865</v>
      </c>
      <c r="G17" t="s">
        <v>198</v>
      </c>
    </row>
    <row r="18" spans="1:8" x14ac:dyDescent="0.25">
      <c r="A18" s="18">
        <f>+A17+0.1</f>
        <v>2.2000000000000002</v>
      </c>
      <c r="B18" s="1" t="s">
        <v>107</v>
      </c>
      <c r="C18" s="28">
        <f>C19/'Financial Statements'!B8</f>
        <v>0.40515256334827859</v>
      </c>
      <c r="D18" s="28">
        <f>D19/'Financial Statements'!C8</f>
        <v>0.41098418061489761</v>
      </c>
      <c r="E18" s="28">
        <f>E19/'Financial Statements'!D8</f>
        <v>0.34267344225270024</v>
      </c>
      <c r="G18" t="s">
        <v>198</v>
      </c>
    </row>
    <row r="19" spans="1:8" x14ac:dyDescent="0.25">
      <c r="A19" s="18"/>
      <c r="B19" s="3" t="s">
        <v>108</v>
      </c>
      <c r="C19" s="36">
        <f>C21+'Financial Statements'!B79</f>
        <v>159763</v>
      </c>
      <c r="D19" s="36">
        <f>D21+'Financial Statements'!C79</f>
        <v>150345</v>
      </c>
      <c r="E19" s="36">
        <f>E21+'Financial Statements'!D79</f>
        <v>94069</v>
      </c>
      <c r="G19" t="s">
        <v>201</v>
      </c>
    </row>
    <row r="20" spans="1:8" x14ac:dyDescent="0.25">
      <c r="A20" s="18">
        <f>+A18+0.1</f>
        <v>2.3000000000000003</v>
      </c>
      <c r="B20" s="1" t="s">
        <v>109</v>
      </c>
      <c r="C20" s="28">
        <f>C21/'Financial Statements'!B8</f>
        <v>0.37699326449047493</v>
      </c>
      <c r="D20" s="28">
        <f>D21/'Financial Statements'!C8</f>
        <v>0.38013815650994898</v>
      </c>
      <c r="E20" s="28">
        <f>E21/'Financial Statements'!D8</f>
        <v>0.30239877602316811</v>
      </c>
      <c r="G20" t="s">
        <v>198</v>
      </c>
    </row>
    <row r="21" spans="1:8" x14ac:dyDescent="0.25">
      <c r="A21" s="18"/>
      <c r="B21" s="3" t="s">
        <v>110</v>
      </c>
      <c r="C21" s="36">
        <f>'Financial Statements'!B22+('Financial Statements'!B21+'Financial Statements'!B81-'Financial Statements'!B101+'Financial Statements'!B113)+'Financial Statements'!B114</f>
        <v>148659</v>
      </c>
      <c r="D21" s="36">
        <f>'Financial Statements'!C22+('Financial Statements'!C21+'Financial Statements'!C81-'Financial Statements'!C101+'Financial Statements'!C113)+'Financial Statements'!C114</f>
        <v>139061</v>
      </c>
      <c r="E21" s="36">
        <f>'Financial Statements'!D22+('Financial Statements'!D21+'Financial Statements'!D81-'Financial Statements'!D101+'Financial Statements'!D113)+'Financial Statements'!D114</f>
        <v>83013</v>
      </c>
      <c r="G21" t="s">
        <v>201</v>
      </c>
    </row>
    <row r="22" spans="1:8" x14ac:dyDescent="0.25">
      <c r="A22" s="18">
        <f>+A20+0.1</f>
        <v>2.4000000000000004</v>
      </c>
      <c r="B22" s="1" t="s">
        <v>111</v>
      </c>
      <c r="C22" s="28">
        <f>'Financial Statements'!B22/'Financial Statements'!B8</f>
        <v>0.25309640705199732</v>
      </c>
      <c r="D22" s="28">
        <f>'Financial Statements'!C22/'Financial Statements'!C8</f>
        <v>0.25881793355694238</v>
      </c>
      <c r="E22" s="28">
        <f>'Financial Statements'!D22/'Financial Statements'!D8</f>
        <v>0.20913611278072236</v>
      </c>
      <c r="G22" t="s">
        <v>198</v>
      </c>
    </row>
    <row r="23" spans="1:8" x14ac:dyDescent="0.25">
      <c r="A23" s="18"/>
    </row>
    <row r="24" spans="1:8" x14ac:dyDescent="0.25">
      <c r="A24" s="18">
        <f>+A16+1</f>
        <v>3</v>
      </c>
      <c r="B24" s="7" t="s">
        <v>112</v>
      </c>
    </row>
    <row r="25" spans="1:8" x14ac:dyDescent="0.25">
      <c r="A25" s="18">
        <f>+A24+0.1</f>
        <v>3.1</v>
      </c>
      <c r="B25" s="1" t="s">
        <v>113</v>
      </c>
      <c r="C25" s="30">
        <f>'Financial Statements'!B62/'Financial Statements'!B68</f>
        <v>5.9615369434796337</v>
      </c>
      <c r="D25" s="30">
        <f>'Financial Statements'!C62/'Financial Statements'!C68</f>
        <v>4.5635124425423994</v>
      </c>
      <c r="E25" s="30">
        <f>'Financial Statements'!D62/'Financial Statements'!D68</f>
        <v>3.9570394404566951</v>
      </c>
      <c r="G25" t="s">
        <v>198</v>
      </c>
    </row>
    <row r="26" spans="1:8" x14ac:dyDescent="0.25">
      <c r="A26" s="18">
        <f t="shared" ref="A26:A30" si="3">+A25+0.1</f>
        <v>3.2</v>
      </c>
      <c r="B26" s="1" t="s">
        <v>114</v>
      </c>
      <c r="C26" s="30">
        <f>'Financial Statements'!B62/'Financial Statements'!B48</f>
        <v>0.85635355983614692</v>
      </c>
      <c r="D26" s="30">
        <f>'Financial Statements'!C62/'Financial Statements'!C48</f>
        <v>0.82025743443057308</v>
      </c>
      <c r="E26" s="30">
        <f>'Financial Statements'!D62/'Financial Statements'!D48</f>
        <v>0.79826668477992391</v>
      </c>
      <c r="G26" t="s">
        <v>198</v>
      </c>
    </row>
    <row r="27" spans="1:8" x14ac:dyDescent="0.25">
      <c r="A27" s="18">
        <f t="shared" si="3"/>
        <v>3.3000000000000003</v>
      </c>
      <c r="B27" s="1" t="s">
        <v>115</v>
      </c>
      <c r="C27" s="30">
        <f>'Financial Statements'!B61/('Financial Statements'!B61+'Financial Statements'!B68)</f>
        <v>0.74507604151469264</v>
      </c>
      <c r="D27" s="30">
        <f>'Financial Statements'!C61/('Financial Statements'!C61+'Financial Statements'!C68)</f>
        <v>0.72024778180302496</v>
      </c>
      <c r="E27" s="30">
        <f>'Financial Statements'!D61/('Financial Statements'!D61+'Financial Statements'!D68)</f>
        <v>0.70096020064440534</v>
      </c>
      <c r="G27" t="s">
        <v>198</v>
      </c>
    </row>
    <row r="28" spans="1:8" x14ac:dyDescent="0.25">
      <c r="A28" s="18">
        <f t="shared" si="3"/>
        <v>3.4000000000000004</v>
      </c>
      <c r="B28" s="1" t="s">
        <v>116</v>
      </c>
      <c r="C28" s="30">
        <f>C21/'Financial Statements'!B114</f>
        <v>51.887958115183245</v>
      </c>
      <c r="D28" s="30">
        <f>D21/'Financial Statements'!C114</f>
        <v>51.75325641979903</v>
      </c>
      <c r="E28" s="30">
        <f>E21/'Financial Statements'!D114</f>
        <v>27.652564956695535</v>
      </c>
      <c r="G28" t="s">
        <v>198</v>
      </c>
    </row>
    <row r="29" spans="1:8" x14ac:dyDescent="0.25">
      <c r="A29" s="18">
        <f t="shared" si="3"/>
        <v>3.5000000000000004</v>
      </c>
      <c r="B29" s="1" t="s">
        <v>117</v>
      </c>
      <c r="C29" s="30">
        <f>'Financial Statements'!B91/'Financial Statements'!B62</f>
        <v>0.40436237722745072</v>
      </c>
      <c r="D29" s="30">
        <f>'Financial Statements'!C91/'Financial Statements'!C62</f>
        <v>0.3613534691155631</v>
      </c>
      <c r="E29" s="30">
        <f>'Financial Statements'!D91/'Financial Statements'!D62</f>
        <v>0.31202596026285151</v>
      </c>
      <c r="G29" t="s">
        <v>198</v>
      </c>
    </row>
    <row r="30" spans="1:8" x14ac:dyDescent="0.25">
      <c r="A30" s="18">
        <f t="shared" si="3"/>
        <v>3.6000000000000005</v>
      </c>
      <c r="B30" s="1" t="s">
        <v>118</v>
      </c>
      <c r="C30" s="30">
        <f>C31/'Financial Statements'!B118</f>
        <v>6.9444791016843421</v>
      </c>
      <c r="D30" s="30">
        <f>D31/'Financial Statements'!C118</f>
        <v>6.4049727107337784</v>
      </c>
      <c r="E30" s="30">
        <f>E31/'Financial Statements'!D118</f>
        <v>4.4468933177022274</v>
      </c>
      <c r="G30" t="s">
        <v>199</v>
      </c>
      <c r="H30" s="48"/>
    </row>
    <row r="31" spans="1:8" x14ac:dyDescent="0.25">
      <c r="A31" s="18"/>
      <c r="B31" s="3" t="s">
        <v>119</v>
      </c>
      <c r="C31">
        <f>'Financial Statements'!B91+'Financial Statements'!B96+'Financial Statements'!B104+'Financial Statements'!B105+'Financial Statements'!B106</f>
        <v>111320</v>
      </c>
      <c r="D31">
        <f>'Financial Statements'!C91+'Financial Statements'!C96+'Financial Statements'!C104+'Financial Statements'!C105+'Financial Statements'!C106</f>
        <v>105618</v>
      </c>
      <c r="E31">
        <f>'Financial Statements'!D91+'Financial Statements'!D96+'Financial Statements'!D104+'Financial Statements'!D105+'Financial Statements'!D106</f>
        <v>75864</v>
      </c>
      <c r="G31" t="s">
        <v>201</v>
      </c>
    </row>
    <row r="32" spans="1:8" x14ac:dyDescent="0.25">
      <c r="A32" s="18"/>
    </row>
    <row r="33" spans="1:7" x14ac:dyDescent="0.25">
      <c r="A33" s="18">
        <f>+A24+1</f>
        <v>4</v>
      </c>
      <c r="B33" s="17" t="s">
        <v>120</v>
      </c>
    </row>
    <row r="34" spans="1:7" x14ac:dyDescent="0.25">
      <c r="A34" s="18">
        <f>+A33+0.1</f>
        <v>4.0999999999999996</v>
      </c>
      <c r="B34" s="1" t="s">
        <v>121</v>
      </c>
      <c r="C34" s="30">
        <f>'Financial Statements'!B8/(('Financial Statements'!B48+'Financial Statements'!C48)/2)</f>
        <v>1.1206368107173357</v>
      </c>
      <c r="D34" s="30">
        <f>'Financial Statements'!C8/(('Financial Statements'!C48+'Financial Statements'!D48)/2)</f>
        <v>1.084078886929722</v>
      </c>
      <c r="E34" s="30">
        <f>'Financial Statements'!D8/(('Financial Statements'!D48+'Financial Statements'!E48)/2)</f>
        <v>0.82884463258072116</v>
      </c>
      <c r="G34" t="s">
        <v>198</v>
      </c>
    </row>
    <row r="35" spans="1:7" x14ac:dyDescent="0.25">
      <c r="A35" s="18">
        <f t="shared" ref="A35:A37" si="4">+A34+0.1</f>
        <v>4.1999999999999993</v>
      </c>
      <c r="B35" s="1" t="s">
        <v>122</v>
      </c>
      <c r="C35" s="30">
        <f>'Financial Statements'!B8/(('Financial Statements'!B45+'Financial Statements'!C45)/2)</f>
        <v>9.6699976703409884</v>
      </c>
      <c r="D35" s="30">
        <f>'Financial Statements'!C8/(('Financial Statements'!C45+'Financial Statements'!D45)/2)</f>
        <v>9.6007400992047867</v>
      </c>
      <c r="E35" s="30">
        <f>'Financial Statements'!D8/(('Financial Statements'!D45+'Financial Statements'!E45)/2)</f>
        <v>7.4049147604661201</v>
      </c>
      <c r="G35" t="s">
        <v>198</v>
      </c>
    </row>
    <row r="36" spans="1:7" x14ac:dyDescent="0.25">
      <c r="A36" s="18">
        <f t="shared" si="4"/>
        <v>4.2999999999999989</v>
      </c>
      <c r="B36" s="1" t="s">
        <v>123</v>
      </c>
      <c r="C36" s="30">
        <f>(C9/365)^-1</f>
        <v>38.789866389033484</v>
      </c>
      <c r="D36" s="30">
        <f>(D9/365)^-1</f>
        <v>40.030260313880277</v>
      </c>
      <c r="E36" s="30">
        <f>(E9/365)^-1</f>
        <v>41.52295824660218</v>
      </c>
      <c r="G36" t="s">
        <v>198</v>
      </c>
    </row>
    <row r="37" spans="1:7" x14ac:dyDescent="0.25">
      <c r="A37" s="18">
        <f t="shared" si="4"/>
        <v>4.3999999999999986</v>
      </c>
      <c r="B37" s="1" t="s">
        <v>124</v>
      </c>
      <c r="C37" s="28">
        <f>'Financial Statements'!B22/(('Financial Statements'!B48+'Financial Statements'!C48)/2)</f>
        <v>0.28362915040276687</v>
      </c>
      <c r="D37" s="28">
        <f>'Financial Statements'!C22/(('Financial Statements'!C48+'Financial Statements'!D48)/2)</f>
        <v>0.28057905732786081</v>
      </c>
      <c r="E37" s="28">
        <f>'Financial Statements'!D22/(('Financial Statements'!D48+'Financial Statements'!E48)/2)</f>
        <v>0.1733413445570981</v>
      </c>
    </row>
    <row r="38" spans="1:7" x14ac:dyDescent="0.25">
      <c r="A38" s="18"/>
    </row>
    <row r="39" spans="1:7" x14ac:dyDescent="0.25">
      <c r="A39" s="18">
        <f>+A33+1</f>
        <v>5</v>
      </c>
      <c r="B39" s="17" t="s">
        <v>125</v>
      </c>
    </row>
    <row r="40" spans="1:7" x14ac:dyDescent="0.25">
      <c r="A40" s="18">
        <f>+A39+0.1</f>
        <v>5.0999999999999996</v>
      </c>
      <c r="B40" s="1" t="s">
        <v>126</v>
      </c>
      <c r="C40" s="30">
        <f>'Financial Statements'!B117/'List of Ratios'!C41</f>
        <v>22.197188461268698</v>
      </c>
      <c r="D40" s="30">
        <f>'Financial Statements'!C117/'List of Ratios'!D41</f>
        <v>24.644433882551752</v>
      </c>
      <c r="E40" s="30">
        <f>'Financial Statements'!D117/'List of Ratios'!E41</f>
        <v>34.413589730191084</v>
      </c>
      <c r="G40" t="s">
        <v>198</v>
      </c>
    </row>
    <row r="41" spans="1:7" x14ac:dyDescent="0.25">
      <c r="A41" s="18">
        <f t="shared" ref="A41:A44" si="5">+A40+0.1</f>
        <v>5.1999999999999993</v>
      </c>
      <c r="B41" s="3" t="s">
        <v>127</v>
      </c>
      <c r="C41" s="30">
        <f>('Financial Statements'!B22-0)/'Financial Statements'!B118</f>
        <v>6.2260137242669993</v>
      </c>
      <c r="D41" s="30">
        <f>('Financial Statements'!C22-0)/'Financial Statements'!C118</f>
        <v>5.7416616130988478</v>
      </c>
      <c r="E41" s="30">
        <f>('Financial Statements'!D22-0)/'Financial Statements'!D118</f>
        <v>3.3652403282532237</v>
      </c>
      <c r="G41" t="s">
        <v>199</v>
      </c>
    </row>
    <row r="42" spans="1:7" x14ac:dyDescent="0.25">
      <c r="A42" s="18">
        <f t="shared" si="5"/>
        <v>5.2999999999999989</v>
      </c>
      <c r="B42" s="1" t="s">
        <v>128</v>
      </c>
      <c r="C42" s="30">
        <f>'Financial Statements'!B117/'List of Ratios'!C43</f>
        <v>43.719332175560467</v>
      </c>
      <c r="D42" s="30">
        <f>'Financial Statements'!C117/'List of Ratios'!D43</f>
        <v>36.984228879378662</v>
      </c>
      <c r="E42" s="30">
        <f>'Financial Statements'!D117/'List of Ratios'!E43</f>
        <v>30.237968135416825</v>
      </c>
      <c r="G42" t="s">
        <v>198</v>
      </c>
    </row>
    <row r="43" spans="1:7" x14ac:dyDescent="0.25">
      <c r="A43" s="18">
        <f t="shared" si="5"/>
        <v>5.3999999999999986</v>
      </c>
      <c r="B43" s="3" t="s">
        <v>129</v>
      </c>
      <c r="C43" s="30">
        <f>('Financial Statements'!B68-0)/'Financial Statements'!B118</f>
        <v>3.1610729881472239</v>
      </c>
      <c r="D43" s="30">
        <f>('Financial Statements'!C68-0)/'Financial Statements'!C118</f>
        <v>3.8259551243177685</v>
      </c>
      <c r="E43" s="30">
        <f>('Financial Statements'!D68-0)/'Financial Statements'!D118</f>
        <v>3.8299531066822978</v>
      </c>
      <c r="G43" t="s">
        <v>199</v>
      </c>
    </row>
    <row r="44" spans="1:7" x14ac:dyDescent="0.25">
      <c r="A44" s="18">
        <f t="shared" si="5"/>
        <v>5.4999999999999982</v>
      </c>
      <c r="B44" s="1" t="s">
        <v>130</v>
      </c>
      <c r="C44" s="30">
        <f>-'Financial Statements'!B102/'Financial Statements'!B22</f>
        <v>0.14870294480125848</v>
      </c>
      <c r="D44" s="30">
        <f>-'Financial Statements'!C102/'Financial Statements'!C22</f>
        <v>0.15279890156316012</v>
      </c>
      <c r="E44" s="30">
        <f>-'Financial Statements'!D102/'Financial Statements'!D22</f>
        <v>0.24526658654264863</v>
      </c>
      <c r="G44" t="s">
        <v>198</v>
      </c>
    </row>
    <row r="45" spans="1:7" x14ac:dyDescent="0.25">
      <c r="A45" s="18"/>
      <c r="B45" s="3" t="s">
        <v>131</v>
      </c>
      <c r="C45" s="30">
        <f>-'Financial Statements'!B102/'Financial Statements'!B118</f>
        <v>0.92582657517155331</v>
      </c>
      <c r="D45" s="30">
        <f>-'Financial Statements'!C102/'Financial Statements'!C118</f>
        <v>0.87731958762886597</v>
      </c>
      <c r="E45" s="30">
        <f>-'Financial Statements'!D102/'Financial Statements'!D118</f>
        <v>0.82538100820633065</v>
      </c>
      <c r="G45" t="s">
        <v>199</v>
      </c>
    </row>
    <row r="46" spans="1:7" x14ac:dyDescent="0.25">
      <c r="A46" s="18">
        <f>+A44+0.1</f>
        <v>5.5999999999999979</v>
      </c>
      <c r="B46" s="1" t="s">
        <v>196</v>
      </c>
      <c r="C46" s="28">
        <f>((-'Financial Statements'!B102*10^6)/(4443236*10^3))/'Financial Statements'!B117</f>
        <v>2.4168836340175425E-2</v>
      </c>
      <c r="D46" s="28">
        <f>((-'Financial Statements'!C102*10^6)/(4443236*10^3))/'Financial Statements'!C117</f>
        <v>2.3010320110278266E-2</v>
      </c>
      <c r="E46" s="28">
        <f>((-'Financial Statements'!D102*10^6)/(4443236*10^3))/'Financial Statements'!D117</f>
        <v>2.7364533932016596E-2</v>
      </c>
      <c r="G46" t="s">
        <v>198</v>
      </c>
    </row>
    <row r="47" spans="1:7" x14ac:dyDescent="0.25">
      <c r="A47" s="18">
        <f t="shared" ref="A47:A50" si="6">+A45+0.1</f>
        <v>0.1</v>
      </c>
      <c r="B47" s="1" t="s">
        <v>132</v>
      </c>
      <c r="C47" s="28">
        <f>'Financial Statements'!B22/'Financial Statements'!B68</f>
        <v>1.9695887275023682</v>
      </c>
      <c r="D47" s="28">
        <f>'Financial Statements'!C22/'Financial Statements'!C68</f>
        <v>1.5007132667617689</v>
      </c>
      <c r="E47" s="28">
        <f>'Financial Statements'!D22/'Financial Statements'!D68</f>
        <v>0.87866358530127486</v>
      </c>
      <c r="G47" t="s">
        <v>198</v>
      </c>
    </row>
    <row r="48" spans="1:7" x14ac:dyDescent="0.25">
      <c r="A48" s="18">
        <f t="shared" si="6"/>
        <v>5.6999999999999975</v>
      </c>
      <c r="B48" s="1" t="s">
        <v>133</v>
      </c>
      <c r="C48" s="28">
        <f>C21/('Financial Statements'!B48-'Financial Statements'!B56)</f>
        <v>0.74788326382355752</v>
      </c>
      <c r="D48" s="28">
        <f>D21/('Financial Statements'!C48-'Financial Statements'!C56)</f>
        <v>0.61662106854794008</v>
      </c>
      <c r="E48" s="28">
        <f>E21/('Financial Statements'!D48-'Financial Statements'!D56)</f>
        <v>0.37992915202108962</v>
      </c>
      <c r="G48" t="s">
        <v>198</v>
      </c>
    </row>
    <row r="49" spans="1:7" x14ac:dyDescent="0.25">
      <c r="A49" s="18">
        <f t="shared" si="6"/>
        <v>0.2</v>
      </c>
      <c r="B49" s="1" t="s">
        <v>124</v>
      </c>
      <c r="C49" s="30">
        <f>'Financial Statements'!B22/(('Financial Statements'!B48+'Financial Statements'!C48)/2)</f>
        <v>0.28362915040276687</v>
      </c>
      <c r="D49" s="30">
        <f>'Financial Statements'!C22/(('Financial Statements'!C48+'Financial Statements'!D48)/2)</f>
        <v>0.28057905732786081</v>
      </c>
      <c r="E49" s="30">
        <f>'Financial Statements'!D22/(('Financial Statements'!D48+'Financial Statements'!E48)/2)</f>
        <v>0.1733413445570981</v>
      </c>
      <c r="G49" t="s">
        <v>198</v>
      </c>
    </row>
    <row r="50" spans="1:7" x14ac:dyDescent="0.25">
      <c r="A50" s="18">
        <f t="shared" si="6"/>
        <v>5.7999999999999972</v>
      </c>
      <c r="B50" s="1" t="s">
        <v>134</v>
      </c>
      <c r="C50" s="30">
        <f t="shared" ref="C50:D50" si="7">C51/C19</f>
        <v>15.609264973742356</v>
      </c>
      <c r="D50" s="30">
        <f t="shared" si="7"/>
        <v>17.202480960457613</v>
      </c>
      <c r="E50" s="30">
        <f>E51/E19</f>
        <v>23.34724085511699</v>
      </c>
      <c r="G50" t="s">
        <v>198</v>
      </c>
    </row>
    <row r="51" spans="1:7" x14ac:dyDescent="0.25">
      <c r="A51" s="18"/>
      <c r="B51" s="3" t="s">
        <v>135</v>
      </c>
      <c r="C51">
        <f>'Financial Statements'!B119+'Financial Statements'!B62-'Financial Statements'!B36</f>
        <v>2493783</v>
      </c>
      <c r="D51">
        <f>'Financial Statements'!C119+'Financial Statements'!C62-'Financial Statements'!C36</f>
        <v>2586307</v>
      </c>
      <c r="E51">
        <f>'Financial Statements'!D119+'Financial Statements'!D62-'Financial Statements'!D36</f>
        <v>2196251.6</v>
      </c>
      <c r="G51" t="s">
        <v>201</v>
      </c>
    </row>
    <row r="53" spans="1:7" x14ac:dyDescent="0.25">
      <c r="A53" s="18"/>
    </row>
    <row r="54" spans="1:7" ht="15.75" x14ac:dyDescent="0.25">
      <c r="B54" s="27" t="s">
        <v>153</v>
      </c>
    </row>
    <row r="56" spans="1:7" x14ac:dyDescent="0.25">
      <c r="B56" s="25" t="s">
        <v>145</v>
      </c>
    </row>
    <row r="57" spans="1:7" x14ac:dyDescent="0.25">
      <c r="A57" s="18"/>
      <c r="B57" t="s">
        <v>146</v>
      </c>
      <c r="C57" s="28">
        <f>('Financial Statements'!B6-'Financial Statements'!C6)/'Financial Statements'!C6</f>
        <v>6.3239764351428418E-2</v>
      </c>
      <c r="D57" s="28">
        <f>('Financial Statements'!C6-'Financial Statements'!D6)/'Financial Statements'!D6</f>
        <v>0.34720743656765435</v>
      </c>
      <c r="E57" s="28">
        <f>('Financial Statements'!D6-'Financial Statements'!E6)/'Financial Statements'!E6</f>
        <v>3.2092312151970941E-2</v>
      </c>
      <c r="G57" t="s">
        <v>198</v>
      </c>
    </row>
    <row r="58" spans="1:7" x14ac:dyDescent="0.25">
      <c r="B58" t="s">
        <v>147</v>
      </c>
      <c r="C58" s="28">
        <f>('Financial Statements'!B7-'Financial Statements'!C7)/'Financial Statements'!C7</f>
        <v>0.14181951041286078</v>
      </c>
      <c r="D58" s="28">
        <f>('Financial Statements'!C7-'Financial Statements'!D7)/'Financial Statements'!D7</f>
        <v>0.27259708376729652</v>
      </c>
      <c r="E58" s="28">
        <f>('Financial Statements'!D7-'Financial Statements'!E7)/'Financial Statements'!E7</f>
        <v>0.16152167807997234</v>
      </c>
      <c r="G58" t="s">
        <v>198</v>
      </c>
    </row>
    <row r="59" spans="1:7" x14ac:dyDescent="0.25">
      <c r="B59" t="s">
        <v>148</v>
      </c>
      <c r="C59" s="28">
        <f>('Financial Statements'!B8-'Financial Statements'!C8)/'Financial Statements'!C8</f>
        <v>7.7937876041846058E-2</v>
      </c>
      <c r="D59" s="28">
        <f>('Financial Statements'!C8-'Financial Statements'!D8)/'Financial Statements'!D8</f>
        <v>0.33259384733074693</v>
      </c>
      <c r="E59" s="28">
        <f>('Financial Statements'!D8-'Financial Statements'!E8)/'Financial Statements'!E8</f>
        <v>5.5120803769784836E-2</v>
      </c>
      <c r="G59" t="s">
        <v>198</v>
      </c>
    </row>
    <row r="60" spans="1:7" x14ac:dyDescent="0.25">
      <c r="B60" t="s">
        <v>149</v>
      </c>
      <c r="C60" s="28">
        <f>('Financial Statements'!B13-'Financial Statements'!C13)/'Financial Statements'!C13</f>
        <v>0.11741997958596143</v>
      </c>
      <c r="D60" s="28">
        <f>('Financial Statements'!C13-'Financial Statements'!D13)/'Financial Statements'!D13</f>
        <v>0.45619116582186819</v>
      </c>
      <c r="E60" s="28">
        <f>('Financial Statements'!D13-'Financial Statements'!E13)/'Financial Statements'!E13</f>
        <v>6.6712740873241722E-2</v>
      </c>
      <c r="G60" t="s">
        <v>198</v>
      </c>
    </row>
    <row r="61" spans="1:7" x14ac:dyDescent="0.25">
      <c r="B61" t="s">
        <v>150</v>
      </c>
      <c r="C61" s="28">
        <f>('Financial Statements'!B15-'Financial Statements'!C15)/'Financial Statements'!C15</f>
        <v>0.19791001186456147</v>
      </c>
      <c r="D61" s="28">
        <f>('Financial Statements'!C15-'Financial Statements'!D15)/'Financial Statements'!D15</f>
        <v>0.16862201365187712</v>
      </c>
      <c r="E61" s="28">
        <f>('Financial Statements'!D15-'Financial Statements'!E15)/'Financial Statements'!E15</f>
        <v>0.15631744465684158</v>
      </c>
      <c r="G61" t="s">
        <v>198</v>
      </c>
    </row>
    <row r="62" spans="1:7" x14ac:dyDescent="0.25">
      <c r="B62" t="s">
        <v>151</v>
      </c>
      <c r="C62" s="28">
        <f>('Financial Statements'!B16-'Financial Statements'!C16)/'Financial Statements'!C16</f>
        <v>0.14203795567287125</v>
      </c>
      <c r="D62" s="28">
        <f>('Financial Statements'!C16-'Financial Statements'!D16)/'Financial Statements'!D16</f>
        <v>0.10328379192608958</v>
      </c>
      <c r="E62" s="28">
        <f>('Financial Statements'!D16-'Financial Statements'!E16)/'Financial Statements'!E16</f>
        <v>9.1586736092080026E-2</v>
      </c>
      <c r="G62" t="s">
        <v>198</v>
      </c>
    </row>
    <row r="64" spans="1:7" x14ac:dyDescent="0.25">
      <c r="B64" s="26" t="s">
        <v>152</v>
      </c>
    </row>
    <row r="65" spans="2:7" x14ac:dyDescent="0.25">
      <c r="B65" s="1" t="s">
        <v>26</v>
      </c>
      <c r="C65" s="28">
        <f>('Financial Statements'!B36-'Financial Statements'!C36)/'Financial Statements'!C36</f>
        <v>-0.32323983972524328</v>
      </c>
      <c r="D65" s="28">
        <f>('Financial Statements'!C36-'Financial Statements'!D36)/'Financial Statements'!D36</f>
        <v>-8.0913299663299659E-2</v>
      </c>
      <c r="E65" s="28">
        <f>('Financial Statements'!D36-'Financial Statements'!E36)/'Financial Statements'!E36</f>
        <v>-0.22168536565391861</v>
      </c>
      <c r="G65" t="s">
        <v>198</v>
      </c>
    </row>
    <row r="66" spans="2:7" x14ac:dyDescent="0.25">
      <c r="B66" s="1" t="s">
        <v>27</v>
      </c>
      <c r="C66" s="28">
        <f>('Financial Statements'!B37-'Financial Statements'!C37)/'Financial Statements'!C37</f>
        <v>-0.10978735694429402</v>
      </c>
      <c r="D66" s="28">
        <f>('Financial Statements'!C37-'Financial Statements'!D37)/'Financial Statements'!D37</f>
        <v>-0.47665652691442933</v>
      </c>
      <c r="E66" s="28">
        <f>('Financial Statements'!D37-'Financial Statements'!E37)/'Financial Statements'!E37</f>
        <v>2.3475721772088256E-2</v>
      </c>
      <c r="G66" t="s">
        <v>198</v>
      </c>
    </row>
    <row r="67" spans="2:7" x14ac:dyDescent="0.25">
      <c r="B67" s="1" t="s">
        <v>28</v>
      </c>
      <c r="C67" s="28">
        <f>('Financial Statements'!B38-'Financial Statements'!C38)/'Financial Statements'!C38</f>
        <v>7.2532156176269125E-2</v>
      </c>
      <c r="D67" s="28">
        <f>('Financial Statements'!C38-'Financial Statements'!D38)/'Financial Statements'!D38</f>
        <v>0.63014888337468977</v>
      </c>
      <c r="E67" s="28">
        <f>('Financial Statements'!D38-'Financial Statements'!E38)/'Financial Statements'!E38</f>
        <v>-0.29686818459391084</v>
      </c>
      <c r="G67" t="s">
        <v>198</v>
      </c>
    </row>
    <row r="68" spans="2:7" x14ac:dyDescent="0.25">
      <c r="B68" s="1" t="s">
        <v>29</v>
      </c>
      <c r="C68" s="28">
        <f>('Financial Statements'!B39-'Financial Statements'!C39)/'Financial Statements'!C39</f>
        <v>-0.24832826747720366</v>
      </c>
      <c r="D68" s="28">
        <f>('Financial Statements'!C39-'Financial Statements'!D39)/'Financial Statements'!D39</f>
        <v>0.62029056882541245</v>
      </c>
      <c r="E68" s="28">
        <f>('Financial Statements'!D39-'Financial Statements'!E39)/'Financial Statements'!E39</f>
        <v>-1.0959571358986848E-2</v>
      </c>
      <c r="G68" t="s">
        <v>198</v>
      </c>
    </row>
    <row r="69" spans="2:7" x14ac:dyDescent="0.25">
      <c r="B69" s="1" t="s">
        <v>47</v>
      </c>
      <c r="C69" s="28">
        <f>('Financial Statements'!B40-'Financial Statements'!C40)/'Financial Statements'!C40</f>
        <v>0.29808149674964324</v>
      </c>
      <c r="D69" s="28">
        <f>('Financial Statements'!C40-'Financial Statements'!D40)/'Financial Statements'!D40</f>
        <v>0.18302461899179367</v>
      </c>
      <c r="E69" s="28">
        <f>('Financial Statements'!D40-'Financial Statements'!E40)/'Financial Statements'!E40</f>
        <v>-6.7881807850336567E-2</v>
      </c>
      <c r="G69" t="s">
        <v>198</v>
      </c>
    </row>
    <row r="70" spans="2:7" x14ac:dyDescent="0.25">
      <c r="B70" s="1" t="s">
        <v>30</v>
      </c>
      <c r="C70" s="28">
        <f>('Financial Statements'!B41-'Financial Statements'!C41)/'Financial Statements'!C41</f>
        <v>0.50400396853518536</v>
      </c>
      <c r="D70" s="28">
        <f>('Financial Statements'!C41-'Financial Statements'!D41)/'Financial Statements'!D41</f>
        <v>0.25275213068181818</v>
      </c>
      <c r="E70" s="28">
        <f>('Financial Statements'!D41-'Financial Statements'!E41)/'Financial Statements'!E41</f>
        <v>-8.8082901554404139E-2</v>
      </c>
      <c r="G70" t="s">
        <v>198</v>
      </c>
    </row>
    <row r="71" spans="2:7" x14ac:dyDescent="0.25">
      <c r="B71" s="1" t="s">
        <v>27</v>
      </c>
      <c r="C71" s="28">
        <f>('Financial Statements'!B44-'Financial Statements'!C44)/'Financial Statements'!C44</f>
        <v>-5.5303142863845724E-2</v>
      </c>
      <c r="D71" s="28">
        <f>('Financial Statements'!C44-'Financial Statements'!D44)/'Financial Statements'!D44</f>
        <v>0.26752703519779553</v>
      </c>
      <c r="E71" s="28">
        <f>('Financial Statements'!D44-'Financial Statements'!E44)/'Financial Statements'!E44</f>
        <v>-4.228173265869889E-2</v>
      </c>
      <c r="G71" t="s">
        <v>198</v>
      </c>
    </row>
    <row r="72" spans="2:7" x14ac:dyDescent="0.25">
      <c r="B72" s="1" t="s">
        <v>32</v>
      </c>
      <c r="C72" s="28">
        <f>('Financial Statements'!B45-'Financial Statements'!C45)/'Financial Statements'!C45</f>
        <v>6.7875253549695744E-2</v>
      </c>
      <c r="D72" s="28">
        <f>('Financial Statements'!C45-'Financial Statements'!D45)/'Financial Statements'!D45</f>
        <v>7.2730239895555673E-2</v>
      </c>
      <c r="E72" s="28">
        <f>('Financial Statements'!D45-'Financial Statements'!E45)/'Financial Statements'!E45</f>
        <v>-1.6373267697576115E-2</v>
      </c>
      <c r="G72" t="s">
        <v>198</v>
      </c>
    </row>
    <row r="73" spans="2:7" x14ac:dyDescent="0.25">
      <c r="B73" s="1" t="s">
        <v>49</v>
      </c>
      <c r="C73" s="28">
        <f>('Financial Statements'!B46-'Financial Statements'!C46)/'Financial Statements'!C46</f>
        <v>0.11420909332842023</v>
      </c>
      <c r="D73" s="28">
        <f>('Financial Statements'!C46-'Financial Statements'!D46)/'Financial Statements'!D46</f>
        <v>0.1487935656836461</v>
      </c>
      <c r="E73" s="28">
        <f>('Financial Statements'!D46-'Financial Statements'!E46)/'Financial Statements'!E46</f>
        <v>0.28940505791739946</v>
      </c>
      <c r="G73" t="s">
        <v>198</v>
      </c>
    </row>
    <row r="75" spans="2:7" x14ac:dyDescent="0.25">
      <c r="B75" s="1" t="s">
        <v>35</v>
      </c>
      <c r="C75" s="28">
        <f>('Financial Statements'!B51-'Financial Statements'!C51)/'Financial Statements'!C51</f>
        <v>0.17077223672917846</v>
      </c>
      <c r="D75" s="28">
        <f>('Financial Statements'!C51-'Financial Statements'!D51)/'Financial Statements'!D51</f>
        <v>0.29475600529600909</v>
      </c>
      <c r="E75" s="28">
        <f>('Financial Statements'!D51-'Financial Statements'!E51)/'Financial Statements'!E51</f>
        <v>-8.5214983995155286E-2</v>
      </c>
      <c r="G75" t="s">
        <v>198</v>
      </c>
    </row>
    <row r="76" spans="2:7" x14ac:dyDescent="0.25">
      <c r="B76" s="1" t="s">
        <v>36</v>
      </c>
      <c r="C76" s="28">
        <f>('Financial Statements'!B52-'Financial Statements'!C52)/'Financial Statements'!C52</f>
        <v>0.28113616743520098</v>
      </c>
      <c r="D76" s="28">
        <f>('Financial Statements'!C52-'Financial Statements'!D52)/'Financial Statements'!D52</f>
        <v>0.1126651672757942</v>
      </c>
      <c r="E76" s="28">
        <f>('Financial Statements'!D52-'Financial Statements'!E52)/'Financial Statements'!E52</f>
        <v>0.13160127253446446</v>
      </c>
      <c r="G76" t="s">
        <v>198</v>
      </c>
    </row>
    <row r="77" spans="2:7" x14ac:dyDescent="0.25">
      <c r="B77" s="1" t="s">
        <v>37</v>
      </c>
      <c r="C77" s="28">
        <f>('Financial Statements'!B53-'Financial Statements'!C53)/'Financial Statements'!C53</f>
        <v>3.9411455596426698E-2</v>
      </c>
      <c r="D77" s="28">
        <f>('Financial Statements'!C53-'Financial Statements'!D53)/'Financial Statements'!D53</f>
        <v>0.14586783079933766</v>
      </c>
      <c r="E77" s="28">
        <f>('Financial Statements'!D53-'Financial Statements'!E53)/'Financial Statements'!E53</f>
        <v>0.20300615718942411</v>
      </c>
      <c r="G77" t="s">
        <v>198</v>
      </c>
    </row>
    <row r="78" spans="2:7" x14ac:dyDescent="0.25">
      <c r="B78" s="1" t="s">
        <v>38</v>
      </c>
      <c r="C78" s="28">
        <f>('Financial Statements'!B54-'Financial Statements'!C54)/'Financial Statements'!C54</f>
        <v>0.66366666666666663</v>
      </c>
      <c r="D78" s="28">
        <f>('Financial Statements'!C54-'Financial Statements'!D54)/'Financial Statements'!D54</f>
        <v>0.20096076861489193</v>
      </c>
      <c r="E78" s="28">
        <f>('Financial Statements'!D54-'Financial Statements'!E54)/'Financial Statements'!E54</f>
        <v>-0.16454849498327759</v>
      </c>
      <c r="G78" t="s">
        <v>198</v>
      </c>
    </row>
    <row r="79" spans="2:7" x14ac:dyDescent="0.25">
      <c r="B79" s="1" t="s">
        <v>162</v>
      </c>
      <c r="C79" s="28">
        <f>('Financial Statements'!B55-'Financial Statements'!C55)/'Financial Statements'!C55</f>
        <v>0.15759908457297409</v>
      </c>
      <c r="D79" s="28">
        <f>('Financial Statements'!C55-'Financial Statements'!D55)/'Financial Statements'!D55</f>
        <v>9.5748318705117977E-2</v>
      </c>
      <c r="E79" s="28">
        <f>('Financial Statements'!D55-'Financial Statements'!E55)/'Financial Statements'!E55</f>
        <v>-0.1449317738791423</v>
      </c>
      <c r="G79" t="s">
        <v>198</v>
      </c>
    </row>
    <row r="80" spans="2:7" x14ac:dyDescent="0.25">
      <c r="B80" s="1" t="s">
        <v>161</v>
      </c>
      <c r="C80" s="28">
        <f>('Financial Statements'!B59-'Financial Statements'!C59)/'Financial Statements'!C59</f>
        <v>-9.3001301486627677E-2</v>
      </c>
      <c r="D80" s="28">
        <f>('Financial Statements'!C59-'Financial Statements'!D59)/'Financial Statements'!D59</f>
        <v>0.1058003182421681</v>
      </c>
      <c r="E80" s="28">
        <f>('Financial Statements'!D59-'Financial Statements'!E59)/'Financial Statements'!E59</f>
        <v>7.4721971091528963E-2</v>
      </c>
      <c r="G80" t="s">
        <v>198</v>
      </c>
    </row>
    <row r="81" spans="2:7" x14ac:dyDescent="0.25">
      <c r="B81" s="1" t="s">
        <v>52</v>
      </c>
      <c r="C81" s="28">
        <f>('Financial Statements'!B60-'Financial Statements'!C60)/'Financial Statements'!C60</f>
        <v>-7.8443506797937171E-2</v>
      </c>
      <c r="D81" s="28">
        <f>('Financial Statements'!C60-'Financial Statements'!D60)/'Financial Statements'!D60</f>
        <v>-2.1380069737566527E-2</v>
      </c>
      <c r="E81" s="28">
        <f>('Financial Statements'!D60-'Financial Statements'!E60)/'Financial Statements'!E60</f>
        <v>7.8945805199691105E-2</v>
      </c>
      <c r="G81" t="s">
        <v>198</v>
      </c>
    </row>
    <row r="82" spans="2:7" x14ac:dyDescent="0.25">
      <c r="B82" s="1"/>
    </row>
    <row r="83" spans="2:7" x14ac:dyDescent="0.25">
      <c r="B83" s="1" t="s">
        <v>163</v>
      </c>
      <c r="C83" s="28">
        <f>('Financial Statements'!B65-'Financial Statements'!C65)/'Financial Statements'!C65</f>
        <v>0.1304628257648392</v>
      </c>
      <c r="D83" s="28">
        <f>('Financial Statements'!C65-'Financial Statements'!D65)/'Financial Statements'!D65</f>
        <v>0.12969928513755685</v>
      </c>
      <c r="E83" s="28">
        <f>('Financial Statements'!D65-'Financial Statements'!E65)/'Financial Statements'!E65</f>
        <v>0.12407579581175013</v>
      </c>
      <c r="G83" t="s">
        <v>198</v>
      </c>
    </row>
    <row r="84" spans="2:7" x14ac:dyDescent="0.25">
      <c r="B84" s="1" t="s">
        <v>43</v>
      </c>
      <c r="C84" s="28">
        <f>('Financial Statements'!B66-'Financial Statements'!C66)/'Financial Statements'!C66</f>
        <v>-1.5516001438331535</v>
      </c>
      <c r="D84" s="28">
        <f>('Financial Statements'!C66-'Financial Statements'!D66)/'Financial Statements'!D66</f>
        <v>-0.62835761058399042</v>
      </c>
      <c r="E84" s="28">
        <f>('Financial Statements'!D66-'Financial Statements'!E66)/'Financial Statements'!E66</f>
        <v>-0.67392914723953112</v>
      </c>
      <c r="G84" t="s">
        <v>198</v>
      </c>
    </row>
    <row r="85" spans="2:7" x14ac:dyDescent="0.25">
      <c r="B85" s="1" t="s">
        <v>44</v>
      </c>
      <c r="C85" s="28">
        <f>('Financial Statements'!B67-'Financial Statements'!C67)/'Financial Statements'!C67</f>
        <v>-69.153374233128829</v>
      </c>
      <c r="D85" s="52">
        <f>('Financial Statements'!C67-'Financial Statements'!D67)/'Financial Statements'!D67</f>
        <v>-1.4014778325123152</v>
      </c>
      <c r="E85" s="52">
        <f>('Financial Statements'!D67-'Financial Statements'!E67)/'Financial Statements'!E67</f>
        <v>-0.3047945205479452</v>
      </c>
      <c r="G85" t="s">
        <v>198</v>
      </c>
    </row>
    <row r="86" spans="2:7" x14ac:dyDescent="0.25">
      <c r="B86" s="1"/>
    </row>
    <row r="87" spans="2:7" x14ac:dyDescent="0.25">
      <c r="B87" s="7" t="s">
        <v>154</v>
      </c>
    </row>
    <row r="88" spans="2:7" x14ac:dyDescent="0.25">
      <c r="B88" t="s">
        <v>155</v>
      </c>
      <c r="C88" s="28">
        <f>'Financial Statements'!B12/'Financial Statements'!B8</f>
        <v>0.56690369438639909</v>
      </c>
      <c r="D88" s="28">
        <f>'Financial Statements'!C12/'Financial Statements'!C8</f>
        <v>0.58220640374832222</v>
      </c>
      <c r="E88" s="28">
        <f>'Financial Statements'!D12/'Financial Statements'!D8</f>
        <v>0.61766752272189129</v>
      </c>
      <c r="G88" t="s">
        <v>198</v>
      </c>
    </row>
    <row r="89" spans="2:7" x14ac:dyDescent="0.25">
      <c r="B89" t="s">
        <v>149</v>
      </c>
      <c r="C89" s="28">
        <f>'Financial Statements'!B13/'Financial Statements'!B8</f>
        <v>0.43309630561360085</v>
      </c>
      <c r="D89" s="28">
        <f>'Financial Statements'!C13/'Financial Statements'!C8</f>
        <v>0.41779359625167778</v>
      </c>
      <c r="E89" s="28">
        <f>'Financial Statements'!D13/'Financial Statements'!D8</f>
        <v>0.38233247727810865</v>
      </c>
      <c r="G89" t="s">
        <v>198</v>
      </c>
    </row>
    <row r="90" spans="2:7" x14ac:dyDescent="0.25">
      <c r="B90" t="s">
        <v>150</v>
      </c>
      <c r="C90" s="29">
        <f>'Financial Statements'!B15/'Financial Statements'!B8</f>
        <v>6.657148363798665E-2</v>
      </c>
      <c r="D90" s="29">
        <f>'Financial Statements'!C15/'Financial Statements'!C8</f>
        <v>5.9904269074427925E-2</v>
      </c>
      <c r="E90" s="29">
        <f>'Financial Statements'!D15/'Financial Statements'!D8</f>
        <v>6.8309564140393061E-2</v>
      </c>
      <c r="G90" t="s">
        <v>198</v>
      </c>
    </row>
    <row r="91" spans="2:7" x14ac:dyDescent="0.25">
      <c r="B91" t="s">
        <v>151</v>
      </c>
      <c r="C91" s="29">
        <f>'Financial Statements'!B16/'Financial Statements'!B8</f>
        <v>6.3637378020328261E-2</v>
      </c>
      <c r="D91" s="29">
        <f>'Financial Statements'!C16/'Financial Statements'!C8</f>
        <v>6.006555190163388E-2</v>
      </c>
      <c r="E91" s="29">
        <f>'Financial Statements'!D16/'Financial Statements'!D8</f>
        <v>7.2549769593646979E-2</v>
      </c>
      <c r="G91" t="s">
        <v>198</v>
      </c>
    </row>
    <row r="92" spans="2:7" x14ac:dyDescent="0.25">
      <c r="B92" t="s">
        <v>156</v>
      </c>
      <c r="C92" s="28">
        <f>'Financial Statements'!B18/'Financial Statements'!B8</f>
        <v>0.30288744395528594</v>
      </c>
      <c r="D92" s="28">
        <f>'Financial Statements'!C18/'Financial Statements'!C8</f>
        <v>0.29782377527561593</v>
      </c>
      <c r="E92" s="28">
        <f>'Financial Statements'!D18/'Financial Statements'!D8</f>
        <v>0.24147314354406862</v>
      </c>
      <c r="G92" t="s">
        <v>198</v>
      </c>
    </row>
    <row r="93" spans="2:7" x14ac:dyDescent="0.25">
      <c r="B93" t="s">
        <v>157</v>
      </c>
      <c r="C93" s="28">
        <f>'Financial Statements'!B22/'Financial Statements'!B8</f>
        <v>0.25309640705199732</v>
      </c>
      <c r="D93" s="28">
        <f>'Financial Statements'!C22/'Financial Statements'!C8</f>
        <v>0.25881793355694238</v>
      </c>
      <c r="E93" s="28">
        <f>'Financial Statements'!D22/'Financial Statements'!D8</f>
        <v>0.20913611278072236</v>
      </c>
      <c r="G93" t="s">
        <v>198</v>
      </c>
    </row>
    <row r="95" spans="2:7" x14ac:dyDescent="0.25">
      <c r="B95" t="s">
        <v>158</v>
      </c>
      <c r="C95" s="28">
        <f>'Financial Statements'!B21/'Financial Statements'!B20</f>
        <v>0.16204461684424407</v>
      </c>
      <c r="D95" s="28">
        <f>'Financial Statements'!C21/'Financial Statements'!C20</f>
        <v>0.13302260844085087</v>
      </c>
      <c r="E95" s="28">
        <f>'Financial Statements'!D21/'Financial Statements'!D20</f>
        <v>0.14428164731484103</v>
      </c>
      <c r="G95" t="s">
        <v>198</v>
      </c>
    </row>
    <row r="96" spans="2:7" x14ac:dyDescent="0.25">
      <c r="B96" t="s">
        <v>159</v>
      </c>
      <c r="C96" s="28">
        <f>ABS('Financial Statements'!B96/'Financial Statements'!B8)</f>
        <v>2.7155058732831552E-2</v>
      </c>
      <c r="D96" s="28">
        <f>ABS('Financial Statements'!C96/'Financial Statements'!C8)</f>
        <v>3.0302036264033657E-2</v>
      </c>
      <c r="E96" s="28">
        <f>ABS('Financial Statements'!D96/'Financial Statements'!D8)</f>
        <v>2.6625138881299748E-2</v>
      </c>
      <c r="G96" t="s">
        <v>198</v>
      </c>
    </row>
    <row r="97" spans="2:7" x14ac:dyDescent="0.25">
      <c r="B97" t="s">
        <v>160</v>
      </c>
      <c r="C97" s="28">
        <f>ABS('Financial Statements'!B96/'Financial Statements'!B45)</f>
        <v>0.25424412944891611</v>
      </c>
      <c r="D97" s="28">
        <f>ABS('Financial Statements'!C96/'Financial Statements'!C45)</f>
        <v>0.28105983772819471</v>
      </c>
      <c r="E97" s="28">
        <f>ABS('Financial Statements'!D96/'Financial Statements'!D45)</f>
        <v>0.19879780231735844</v>
      </c>
      <c r="G97" t="s">
        <v>198</v>
      </c>
    </row>
  </sheetData>
  <mergeCells count="1">
    <mergeCell ref="C2:E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Financial Statements</vt:lpstr>
      <vt:lpstr>List of Ratios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14525</cp:lastModifiedBy>
  <dcterms:created xsi:type="dcterms:W3CDTF">2020-05-18T16:32:37Z</dcterms:created>
  <dcterms:modified xsi:type="dcterms:W3CDTF">2024-03-11T15:33:29Z</dcterms:modified>
</cp:coreProperties>
</file>