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SynologyDrive\Jobs\September 2023 Job Applications\Banking\Venture Capital Careers Jobsite\Trainee Investment Analyst - Quill Capital Partners\Level 1\Task 2 - Ratio Analysis &amp; Interpretation\"/>
    </mc:Choice>
  </mc:AlternateContent>
  <xr:revisionPtr revIDLastSave="0" documentId="13_ncr:1_{D87FA62B-2AA7-44A1-AF82-AC1ABCC5A24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structions" sheetId="1" r:id="rId1"/>
    <sheet name="Financial Statements" sheetId="2" r:id="rId2"/>
    <sheet name="List of Ratios" sheetId="3" r:id="rId3"/>
    <sheet name="Financial Statements - Apple" sheetId="4" r:id="rId4"/>
    <sheet name="List of Ratios - Apple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6" i="3" l="1"/>
  <c r="O88" i="3"/>
  <c r="P88" i="3"/>
  <c r="Q88" i="3"/>
  <c r="O89" i="3"/>
  <c r="P89" i="3"/>
  <c r="Q89" i="3"/>
  <c r="O90" i="3"/>
  <c r="P90" i="3"/>
  <c r="Q90" i="3"/>
  <c r="O6" i="3"/>
  <c r="P6" i="3"/>
  <c r="Q6" i="3"/>
  <c r="O7" i="3"/>
  <c r="P7" i="3"/>
  <c r="Q7" i="3"/>
  <c r="O8" i="3"/>
  <c r="P8" i="3"/>
  <c r="Q8" i="3"/>
  <c r="O9" i="3"/>
  <c r="P9" i="3"/>
  <c r="Q9" i="3"/>
  <c r="O10" i="3"/>
  <c r="P10" i="3"/>
  <c r="Q10" i="3"/>
  <c r="O11" i="3"/>
  <c r="P11" i="3"/>
  <c r="Q11" i="3"/>
  <c r="O12" i="3"/>
  <c r="P12" i="3"/>
  <c r="Q12" i="3"/>
  <c r="O13" i="3"/>
  <c r="P13" i="3"/>
  <c r="Q13" i="3"/>
  <c r="O14" i="3"/>
  <c r="P14" i="3"/>
  <c r="Q14" i="3"/>
  <c r="O17" i="3"/>
  <c r="P17" i="3"/>
  <c r="Q17" i="3"/>
  <c r="O18" i="3"/>
  <c r="P18" i="3"/>
  <c r="Q18" i="3"/>
  <c r="O19" i="3"/>
  <c r="P19" i="3"/>
  <c r="Q19" i="3"/>
  <c r="O20" i="3"/>
  <c r="P20" i="3"/>
  <c r="Q20" i="3"/>
  <c r="O21" i="3"/>
  <c r="P21" i="3"/>
  <c r="Q21" i="3"/>
  <c r="O22" i="3"/>
  <c r="P22" i="3"/>
  <c r="Q22" i="3"/>
  <c r="O25" i="3"/>
  <c r="P25" i="3"/>
  <c r="Q25" i="3"/>
  <c r="O26" i="3"/>
  <c r="P26" i="3"/>
  <c r="Q26" i="3"/>
  <c r="O27" i="3"/>
  <c r="P27" i="3"/>
  <c r="Q27" i="3"/>
  <c r="O28" i="3"/>
  <c r="P28" i="3"/>
  <c r="Q28" i="3"/>
  <c r="O29" i="3"/>
  <c r="P29" i="3"/>
  <c r="Q29" i="3"/>
  <c r="O30" i="3"/>
  <c r="P30" i="3"/>
  <c r="Q30" i="3"/>
  <c r="O31" i="3"/>
  <c r="P31" i="3"/>
  <c r="Q31" i="3"/>
  <c r="O34" i="3"/>
  <c r="P34" i="3"/>
  <c r="Q34" i="3"/>
  <c r="O35" i="3"/>
  <c r="P35" i="3"/>
  <c r="Q35" i="3"/>
  <c r="O36" i="3"/>
  <c r="P36" i="3"/>
  <c r="Q36" i="3"/>
  <c r="O37" i="3"/>
  <c r="P37" i="3"/>
  <c r="Q37" i="3"/>
  <c r="O40" i="3"/>
  <c r="P40" i="3"/>
  <c r="Q40" i="3"/>
  <c r="O41" i="3"/>
  <c r="P41" i="3"/>
  <c r="Q41" i="3"/>
  <c r="O42" i="3"/>
  <c r="P42" i="3"/>
  <c r="Q42" i="3"/>
  <c r="O43" i="3"/>
  <c r="P43" i="3"/>
  <c r="Q43" i="3"/>
  <c r="O47" i="3"/>
  <c r="P47" i="3"/>
  <c r="Q47" i="3"/>
  <c r="O48" i="3"/>
  <c r="P48" i="3"/>
  <c r="Q48" i="3"/>
  <c r="O49" i="3"/>
  <c r="P49" i="3"/>
  <c r="Q49" i="3"/>
  <c r="O50" i="3"/>
  <c r="P50" i="3"/>
  <c r="Q50" i="3"/>
  <c r="O51" i="3"/>
  <c r="P51" i="3"/>
  <c r="Q51" i="3"/>
  <c r="O57" i="3"/>
  <c r="P57" i="3"/>
  <c r="Q57" i="3"/>
  <c r="O58" i="3"/>
  <c r="P58" i="3"/>
  <c r="Q58" i="3"/>
  <c r="O59" i="3"/>
  <c r="P59" i="3"/>
  <c r="Q59" i="3"/>
  <c r="O60" i="3"/>
  <c r="P60" i="3"/>
  <c r="Q60" i="3"/>
  <c r="O61" i="3"/>
  <c r="P61" i="3"/>
  <c r="Q61" i="3"/>
  <c r="O62" i="3"/>
  <c r="P62" i="3"/>
  <c r="Q62" i="3"/>
  <c r="O63" i="3"/>
  <c r="P63" i="3"/>
  <c r="Q63" i="3"/>
  <c r="O64" i="3"/>
  <c r="P64" i="3"/>
  <c r="Q64" i="3"/>
  <c r="O65" i="3"/>
  <c r="P65" i="3"/>
  <c r="Q65" i="3"/>
  <c r="O67" i="3"/>
  <c r="P67" i="3"/>
  <c r="Q67" i="3"/>
  <c r="O70" i="3"/>
  <c r="P70" i="3"/>
  <c r="Q70" i="3"/>
  <c r="O71" i="3"/>
  <c r="P71" i="3"/>
  <c r="Q71" i="3"/>
  <c r="O72" i="3"/>
  <c r="P72" i="3"/>
  <c r="Q72" i="3"/>
  <c r="O73" i="3"/>
  <c r="P73" i="3"/>
  <c r="Q73" i="3"/>
  <c r="O74" i="3"/>
  <c r="P74" i="3"/>
  <c r="Q74" i="3"/>
  <c r="O75" i="3"/>
  <c r="P75" i="3"/>
  <c r="Q75" i="3"/>
  <c r="O76" i="3"/>
  <c r="P76" i="3"/>
  <c r="Q76" i="3"/>
  <c r="O77" i="3"/>
  <c r="P77" i="3"/>
  <c r="Q77" i="3"/>
  <c r="O79" i="3"/>
  <c r="P79" i="3"/>
  <c r="Q79" i="3"/>
  <c r="O80" i="3"/>
  <c r="P80" i="3"/>
  <c r="Q80" i="3"/>
  <c r="O81" i="3"/>
  <c r="P81" i="3"/>
  <c r="Q81" i="3"/>
  <c r="O82" i="3"/>
  <c r="P82" i="3"/>
  <c r="Q82" i="3"/>
  <c r="O83" i="3"/>
  <c r="P83" i="3"/>
  <c r="Q83" i="3"/>
  <c r="O84" i="3"/>
  <c r="P84" i="3"/>
  <c r="Q84" i="3"/>
  <c r="O93" i="3"/>
  <c r="P93" i="3"/>
  <c r="Q93" i="3"/>
  <c r="O94" i="3"/>
  <c r="P94" i="3"/>
  <c r="Q94" i="3"/>
  <c r="O95" i="3"/>
  <c r="P95" i="3"/>
  <c r="Q95" i="3"/>
  <c r="O96" i="3"/>
  <c r="P96" i="3"/>
  <c r="Q96" i="3"/>
  <c r="O97" i="3"/>
  <c r="P97" i="3"/>
  <c r="Q97" i="3"/>
  <c r="O98" i="3"/>
  <c r="P98" i="3"/>
  <c r="Q98" i="3"/>
  <c r="O99" i="3"/>
  <c r="P99" i="3"/>
  <c r="Q99" i="3"/>
  <c r="O100" i="3"/>
  <c r="P100" i="3"/>
  <c r="Q100" i="3"/>
  <c r="O101" i="3"/>
  <c r="P101" i="3"/>
  <c r="Q101" i="3"/>
  <c r="O103" i="3"/>
  <c r="P103" i="3"/>
  <c r="Q103" i="3"/>
  <c r="O104" i="3"/>
  <c r="P104" i="3"/>
  <c r="Q104" i="3"/>
  <c r="O105" i="3"/>
  <c r="P105" i="3"/>
  <c r="Q105" i="3"/>
  <c r="Q5" i="3"/>
  <c r="P5" i="3"/>
  <c r="O5" i="3"/>
  <c r="C67" i="3"/>
  <c r="D67" i="3"/>
  <c r="E67" i="3"/>
  <c r="B126" i="2"/>
  <c r="B127" i="2" s="1"/>
  <c r="C126" i="2"/>
  <c r="C127" i="2" s="1"/>
  <c r="D126" i="2"/>
  <c r="D127" i="2"/>
  <c r="C105" i="3"/>
  <c r="D105" i="3"/>
  <c r="E105" i="3"/>
  <c r="C104" i="3"/>
  <c r="D104" i="3"/>
  <c r="C96" i="3"/>
  <c r="D96" i="3"/>
  <c r="C97" i="3"/>
  <c r="C95" i="3"/>
  <c r="D95" i="3"/>
  <c r="C87" i="3"/>
  <c r="D87" i="3"/>
  <c r="E87" i="3"/>
  <c r="C88" i="3"/>
  <c r="D88" i="3"/>
  <c r="E88" i="3"/>
  <c r="C89" i="3"/>
  <c r="D89" i="3"/>
  <c r="E89" i="3"/>
  <c r="C90" i="3"/>
  <c r="D90" i="3"/>
  <c r="E90" i="3"/>
  <c r="C86" i="3"/>
  <c r="D86" i="3"/>
  <c r="E86" i="3"/>
  <c r="C80" i="3"/>
  <c r="D80" i="3"/>
  <c r="E80" i="3"/>
  <c r="C81" i="3"/>
  <c r="D81" i="3"/>
  <c r="E81" i="3"/>
  <c r="C82" i="3"/>
  <c r="D82" i="3"/>
  <c r="E82" i="3"/>
  <c r="C83" i="3"/>
  <c r="D83" i="3"/>
  <c r="E83" i="3"/>
  <c r="C84" i="3"/>
  <c r="D84" i="3"/>
  <c r="E84" i="3"/>
  <c r="C79" i="3"/>
  <c r="D79" i="3"/>
  <c r="E79" i="3"/>
  <c r="C71" i="3"/>
  <c r="D71" i="3"/>
  <c r="E71" i="3"/>
  <c r="C72" i="3"/>
  <c r="D72" i="3"/>
  <c r="E72" i="3"/>
  <c r="C73" i="3"/>
  <c r="D73" i="3"/>
  <c r="E73" i="3"/>
  <c r="C74" i="3"/>
  <c r="D74" i="3"/>
  <c r="E74" i="3"/>
  <c r="C75" i="3"/>
  <c r="D75" i="3"/>
  <c r="E75" i="3"/>
  <c r="C76" i="3"/>
  <c r="D76" i="3"/>
  <c r="E76" i="3"/>
  <c r="C77" i="3"/>
  <c r="D77" i="3"/>
  <c r="E77" i="3"/>
  <c r="C70" i="3"/>
  <c r="D70" i="3"/>
  <c r="E70" i="3"/>
  <c r="C62" i="3"/>
  <c r="D62" i="3"/>
  <c r="E62" i="3"/>
  <c r="C63" i="3"/>
  <c r="D63" i="3"/>
  <c r="E63" i="3"/>
  <c r="C64" i="3"/>
  <c r="D64" i="3"/>
  <c r="E64" i="3"/>
  <c r="C65" i="3"/>
  <c r="D65" i="3"/>
  <c r="E65" i="3"/>
  <c r="C61" i="3"/>
  <c r="D61" i="3"/>
  <c r="E61" i="3"/>
  <c r="C58" i="3"/>
  <c r="D58" i="3"/>
  <c r="E58" i="3"/>
  <c r="C59" i="3"/>
  <c r="C57" i="3"/>
  <c r="D57" i="3"/>
  <c r="E57" i="3"/>
  <c r="C36" i="3"/>
  <c r="C11" i="3"/>
  <c r="D11" i="3"/>
  <c r="C10" i="3"/>
  <c r="E14" i="3"/>
  <c r="C7" i="3"/>
  <c r="D7" i="3"/>
  <c r="E7" i="3"/>
  <c r="C6" i="3"/>
  <c r="E89" i="2"/>
  <c r="C104" i="2"/>
  <c r="D104" i="2"/>
  <c r="E104" i="2"/>
  <c r="C113" i="2"/>
  <c r="D113" i="2"/>
  <c r="E113" i="2"/>
  <c r="B113" i="2"/>
  <c r="B104" i="2"/>
  <c r="C47" i="2"/>
  <c r="D6" i="3" s="1"/>
  <c r="D47" i="2"/>
  <c r="E6" i="3" s="1"/>
  <c r="E47" i="2"/>
  <c r="C53" i="2"/>
  <c r="D53" i="2"/>
  <c r="E53" i="2"/>
  <c r="C60" i="2"/>
  <c r="D60" i="2"/>
  <c r="E5" i="3" s="1"/>
  <c r="E60" i="2"/>
  <c r="C66" i="2"/>
  <c r="D27" i="3" s="1"/>
  <c r="D66" i="2"/>
  <c r="E27" i="3" s="1"/>
  <c r="E66" i="2"/>
  <c r="C76" i="2"/>
  <c r="D43" i="3" s="1"/>
  <c r="D42" i="3" s="1"/>
  <c r="D76" i="2"/>
  <c r="E43" i="3" s="1"/>
  <c r="E42" i="3" s="1"/>
  <c r="E76" i="2"/>
  <c r="B76" i="2"/>
  <c r="C43" i="3" s="1"/>
  <c r="C42" i="3" s="1"/>
  <c r="B60" i="2"/>
  <c r="B66" i="2"/>
  <c r="C27" i="3" s="1"/>
  <c r="B53" i="2"/>
  <c r="B47" i="2"/>
  <c r="C5" i="3" s="1"/>
  <c r="B8" i="2"/>
  <c r="C99" i="3" s="1"/>
  <c r="C8" i="2"/>
  <c r="D97" i="3" s="1"/>
  <c r="B10" i="2"/>
  <c r="C93" i="3" s="1"/>
  <c r="C10" i="2"/>
  <c r="D36" i="3" s="1"/>
  <c r="B18" i="2"/>
  <c r="C8" i="3" s="1"/>
  <c r="C18" i="2"/>
  <c r="D8" i="3" s="1"/>
  <c r="B23" i="2"/>
  <c r="C23" i="2"/>
  <c r="E8" i="2"/>
  <c r="E10" i="2"/>
  <c r="E18" i="2"/>
  <c r="E23" i="2"/>
  <c r="D23" i="2"/>
  <c r="D18" i="2"/>
  <c r="E8" i="3" s="1"/>
  <c r="D10" i="2"/>
  <c r="E93" i="3" s="1"/>
  <c r="D8" i="2"/>
  <c r="E104" i="3" s="1"/>
  <c r="E97" i="5"/>
  <c r="D97" i="5"/>
  <c r="C97" i="5"/>
  <c r="E96" i="5"/>
  <c r="D96" i="5"/>
  <c r="C96" i="5"/>
  <c r="E95" i="5"/>
  <c r="D95" i="5"/>
  <c r="C95" i="5"/>
  <c r="E93" i="5"/>
  <c r="D93" i="5"/>
  <c r="C93" i="5"/>
  <c r="E92" i="5"/>
  <c r="D92" i="5"/>
  <c r="C92" i="5"/>
  <c r="E91" i="5"/>
  <c r="D91" i="5"/>
  <c r="C91" i="5"/>
  <c r="E90" i="5"/>
  <c r="D90" i="5"/>
  <c r="C90" i="5"/>
  <c r="E89" i="5"/>
  <c r="D89" i="5"/>
  <c r="C89" i="5"/>
  <c r="E88" i="5"/>
  <c r="D88" i="5"/>
  <c r="C88" i="5"/>
  <c r="E85" i="5"/>
  <c r="D85" i="5"/>
  <c r="C85" i="5"/>
  <c r="E84" i="5"/>
  <c r="D84" i="5"/>
  <c r="C84" i="5"/>
  <c r="E83" i="5"/>
  <c r="D83" i="5"/>
  <c r="C83" i="5"/>
  <c r="E81" i="5"/>
  <c r="D81" i="5"/>
  <c r="C81" i="5"/>
  <c r="E80" i="5"/>
  <c r="D80" i="5"/>
  <c r="C80" i="5"/>
  <c r="E79" i="5"/>
  <c r="D79" i="5"/>
  <c r="C79" i="5"/>
  <c r="E78" i="5"/>
  <c r="D78" i="5"/>
  <c r="C78" i="5"/>
  <c r="E77" i="5"/>
  <c r="D77" i="5"/>
  <c r="C77" i="5"/>
  <c r="E76" i="5"/>
  <c r="D76" i="5"/>
  <c r="C76" i="5"/>
  <c r="E75" i="5"/>
  <c r="D75" i="5"/>
  <c r="C75" i="5"/>
  <c r="E73" i="5"/>
  <c r="D73" i="5"/>
  <c r="C73" i="5"/>
  <c r="E72" i="5"/>
  <c r="D72" i="5"/>
  <c r="C72" i="5"/>
  <c r="E71" i="5"/>
  <c r="D71" i="5"/>
  <c r="C71" i="5"/>
  <c r="E70" i="5"/>
  <c r="D70" i="5"/>
  <c r="C70" i="5"/>
  <c r="E69" i="5"/>
  <c r="D69" i="5"/>
  <c r="C69" i="5"/>
  <c r="E68" i="5"/>
  <c r="D68" i="5"/>
  <c r="C68" i="5"/>
  <c r="E67" i="5"/>
  <c r="D67" i="5"/>
  <c r="C67" i="5"/>
  <c r="E66" i="5"/>
  <c r="D66" i="5"/>
  <c r="C66" i="5"/>
  <c r="E65" i="5"/>
  <c r="D65" i="5"/>
  <c r="C65" i="5"/>
  <c r="E62" i="5"/>
  <c r="D62" i="5"/>
  <c r="C62" i="5"/>
  <c r="E61" i="5"/>
  <c r="D61" i="5"/>
  <c r="C61" i="5"/>
  <c r="E60" i="5"/>
  <c r="D60" i="5"/>
  <c r="C60" i="5"/>
  <c r="E59" i="5"/>
  <c r="D59" i="5"/>
  <c r="C59" i="5"/>
  <c r="E58" i="5"/>
  <c r="D58" i="5"/>
  <c r="C58" i="5"/>
  <c r="E57" i="5"/>
  <c r="D57" i="5"/>
  <c r="C57" i="5"/>
  <c r="E51" i="5"/>
  <c r="D51" i="5"/>
  <c r="C51" i="5"/>
  <c r="E49" i="5"/>
  <c r="D49" i="5"/>
  <c r="C49" i="5"/>
  <c r="A49" i="5"/>
  <c r="E48" i="5"/>
  <c r="C48" i="5"/>
  <c r="E47" i="5"/>
  <c r="D47" i="5"/>
  <c r="C47" i="5"/>
  <c r="A47" i="5"/>
  <c r="E46" i="5"/>
  <c r="D46" i="5"/>
  <c r="C46" i="5"/>
  <c r="E45" i="5"/>
  <c r="D45" i="5"/>
  <c r="C45" i="5"/>
  <c r="E44" i="5"/>
  <c r="D44" i="5"/>
  <c r="C44" i="5"/>
  <c r="E43" i="5"/>
  <c r="D43" i="5"/>
  <c r="C43" i="5"/>
  <c r="C42" i="5" s="1"/>
  <c r="E42" i="5"/>
  <c r="D42" i="5"/>
  <c r="E41" i="5"/>
  <c r="D41" i="5"/>
  <c r="C41" i="5"/>
  <c r="E40" i="5"/>
  <c r="D40" i="5"/>
  <c r="C40" i="5"/>
  <c r="E37" i="5"/>
  <c r="D37" i="5"/>
  <c r="C37" i="5"/>
  <c r="E36" i="5"/>
  <c r="D36" i="5"/>
  <c r="E35" i="5"/>
  <c r="D35" i="5"/>
  <c r="C35" i="5"/>
  <c r="E34" i="5"/>
  <c r="D34" i="5"/>
  <c r="C34" i="5"/>
  <c r="E31" i="5"/>
  <c r="D31" i="5"/>
  <c r="C31" i="5"/>
  <c r="E30" i="5"/>
  <c r="D30" i="5"/>
  <c r="C30" i="5"/>
  <c r="E29" i="5"/>
  <c r="D29" i="5"/>
  <c r="C29" i="5"/>
  <c r="E28" i="5"/>
  <c r="D28" i="5"/>
  <c r="E27" i="5"/>
  <c r="D27" i="5"/>
  <c r="C27" i="5"/>
  <c r="E26" i="5"/>
  <c r="D26" i="5"/>
  <c r="C26" i="5"/>
  <c r="E25" i="5"/>
  <c r="D25" i="5"/>
  <c r="C25" i="5"/>
  <c r="A24" i="5"/>
  <c r="A33" i="5" s="1"/>
  <c r="E22" i="5"/>
  <c r="D22" i="5"/>
  <c r="C22" i="5"/>
  <c r="E21" i="5"/>
  <c r="D21" i="5"/>
  <c r="D48" i="5" s="1"/>
  <c r="C21" i="5"/>
  <c r="C28" i="5" s="1"/>
  <c r="E20" i="5"/>
  <c r="D20" i="5"/>
  <c r="E19" i="5"/>
  <c r="E50" i="5" s="1"/>
  <c r="D19" i="5"/>
  <c r="D50" i="5" s="1"/>
  <c r="C19" i="5"/>
  <c r="C18" i="5" s="1"/>
  <c r="E18" i="5"/>
  <c r="D18" i="5"/>
  <c r="E17" i="5"/>
  <c r="D17" i="5"/>
  <c r="C17" i="5"/>
  <c r="A16" i="5"/>
  <c r="A17" i="5" s="1"/>
  <c r="A18" i="5" s="1"/>
  <c r="A20" i="5" s="1"/>
  <c r="A22" i="5" s="1"/>
  <c r="E14" i="5"/>
  <c r="E13" i="5" s="1"/>
  <c r="D14" i="5"/>
  <c r="D13" i="5" s="1"/>
  <c r="C14" i="5"/>
  <c r="C13" i="5" s="1"/>
  <c r="X11" i="5"/>
  <c r="W11" i="5"/>
  <c r="V11" i="5"/>
  <c r="E11" i="5"/>
  <c r="D11" i="5"/>
  <c r="W10" i="5" s="1"/>
  <c r="C11" i="5"/>
  <c r="X10" i="5"/>
  <c r="V10" i="5"/>
  <c r="E10" i="5"/>
  <c r="D10" i="5"/>
  <c r="C10" i="5"/>
  <c r="X9" i="5"/>
  <c r="X13" i="5" s="1"/>
  <c r="E12" i="5" s="1"/>
  <c r="E9" i="5"/>
  <c r="D9" i="5"/>
  <c r="W9" i="5" s="1"/>
  <c r="C9" i="5"/>
  <c r="V9" i="5" s="1"/>
  <c r="V13" i="5" s="1"/>
  <c r="C12" i="5" s="1"/>
  <c r="E8" i="5"/>
  <c r="D8" i="5"/>
  <c r="C8" i="5"/>
  <c r="E7" i="5"/>
  <c r="D7" i="5"/>
  <c r="C7" i="5"/>
  <c r="E6" i="5"/>
  <c r="D6" i="5"/>
  <c r="C6" i="5"/>
  <c r="E5" i="5"/>
  <c r="D5" i="5"/>
  <c r="C5" i="5"/>
  <c r="A5" i="5"/>
  <c r="A6" i="5" s="1"/>
  <c r="A7" i="5" s="1"/>
  <c r="A8" i="5" s="1"/>
  <c r="A9" i="5" s="1"/>
  <c r="A10" i="5" s="1"/>
  <c r="A11" i="5" s="1"/>
  <c r="A12" i="5" s="1"/>
  <c r="A13" i="5" s="1"/>
  <c r="E3" i="5"/>
  <c r="D3" i="5"/>
  <c r="C3" i="5"/>
  <c r="D119" i="4"/>
  <c r="C119" i="4"/>
  <c r="B119" i="4"/>
  <c r="E108" i="4"/>
  <c r="D108" i="4"/>
  <c r="C108" i="4"/>
  <c r="B108" i="4"/>
  <c r="L99" i="4"/>
  <c r="K99" i="4"/>
  <c r="J99" i="4"/>
  <c r="E99" i="4"/>
  <c r="D99" i="4"/>
  <c r="C99" i="4"/>
  <c r="B99" i="4"/>
  <c r="L97" i="4"/>
  <c r="K97" i="4"/>
  <c r="J97" i="4"/>
  <c r="K93" i="4"/>
  <c r="K91" i="4"/>
  <c r="K89" i="4"/>
  <c r="D73" i="4"/>
  <c r="E68" i="4"/>
  <c r="E69" i="4" s="1"/>
  <c r="D68" i="4"/>
  <c r="D69" i="4" s="1"/>
  <c r="C68" i="4"/>
  <c r="C69" i="4" s="1"/>
  <c r="B68" i="4"/>
  <c r="B69" i="4" s="1"/>
  <c r="E62" i="4"/>
  <c r="D62" i="4"/>
  <c r="E61" i="4"/>
  <c r="D61" i="4"/>
  <c r="C61" i="4"/>
  <c r="B61" i="4"/>
  <c r="E56" i="4"/>
  <c r="D56" i="4"/>
  <c r="C56" i="4"/>
  <c r="C62" i="4" s="1"/>
  <c r="B56" i="4"/>
  <c r="B62" i="4" s="1"/>
  <c r="E48" i="4"/>
  <c r="D48" i="4"/>
  <c r="E47" i="4"/>
  <c r="D47" i="4"/>
  <c r="C47" i="4"/>
  <c r="B47" i="4"/>
  <c r="E42" i="4"/>
  <c r="D42" i="4"/>
  <c r="C42" i="4"/>
  <c r="C48" i="4" s="1"/>
  <c r="B42" i="4"/>
  <c r="B48" i="4" s="1"/>
  <c r="D33" i="4"/>
  <c r="C33" i="4"/>
  <c r="C73" i="4" s="1"/>
  <c r="B33" i="4"/>
  <c r="B73" i="4" s="1"/>
  <c r="E17" i="4"/>
  <c r="D17" i="4"/>
  <c r="C17" i="4"/>
  <c r="B17" i="4"/>
  <c r="B13" i="4"/>
  <c r="B18" i="4" s="1"/>
  <c r="B20" i="4" s="1"/>
  <c r="B22" i="4" s="1"/>
  <c r="B76" i="4" s="1"/>
  <c r="B91" i="4" s="1"/>
  <c r="B109" i="4" s="1"/>
  <c r="E12" i="4"/>
  <c r="E13" i="4" s="1"/>
  <c r="E18" i="4" s="1"/>
  <c r="E20" i="4" s="1"/>
  <c r="E22" i="4" s="1"/>
  <c r="E76" i="4" s="1"/>
  <c r="E91" i="4" s="1"/>
  <c r="E109" i="4" s="1"/>
  <c r="D12" i="4"/>
  <c r="D13" i="4" s="1"/>
  <c r="D18" i="4" s="1"/>
  <c r="D20" i="4" s="1"/>
  <c r="D22" i="4" s="1"/>
  <c r="D76" i="4" s="1"/>
  <c r="D91" i="4" s="1"/>
  <c r="D109" i="4" s="1"/>
  <c r="C12" i="4"/>
  <c r="C13" i="4" s="1"/>
  <c r="C18" i="4" s="1"/>
  <c r="C20" i="4" s="1"/>
  <c r="C22" i="4" s="1"/>
  <c r="C76" i="4" s="1"/>
  <c r="C91" i="4" s="1"/>
  <c r="C109" i="4" s="1"/>
  <c r="B12" i="4"/>
  <c r="E8" i="4"/>
  <c r="D8" i="4"/>
  <c r="C8" i="4"/>
  <c r="B8" i="4"/>
  <c r="C9" i="3" l="1"/>
  <c r="C12" i="3" s="1"/>
  <c r="C35" i="3"/>
  <c r="C98" i="3"/>
  <c r="E10" i="3"/>
  <c r="E36" i="3"/>
  <c r="E59" i="3"/>
  <c r="E97" i="3"/>
  <c r="E11" i="3"/>
  <c r="E13" i="3"/>
  <c r="E34" i="3"/>
  <c r="E99" i="3"/>
  <c r="D14" i="3"/>
  <c r="D13" i="3" s="1"/>
  <c r="D99" i="3"/>
  <c r="C14" i="3"/>
  <c r="C13" i="3" s="1"/>
  <c r="E9" i="3"/>
  <c r="E35" i="3"/>
  <c r="E98" i="3"/>
  <c r="D5" i="3"/>
  <c r="D9" i="3"/>
  <c r="D35" i="3"/>
  <c r="D93" i="3"/>
  <c r="D98" i="3"/>
  <c r="D10" i="3"/>
  <c r="D59" i="3"/>
  <c r="E95" i="3"/>
  <c r="E96" i="3"/>
  <c r="E115" i="2"/>
  <c r="E116" i="2" s="1"/>
  <c r="E54" i="2"/>
  <c r="D54" i="2"/>
  <c r="E67" i="2"/>
  <c r="E77" i="2" s="1"/>
  <c r="D67" i="2"/>
  <c r="C67" i="2"/>
  <c r="C54" i="2"/>
  <c r="D34" i="3" s="1"/>
  <c r="B67" i="2"/>
  <c r="B54" i="2"/>
  <c r="D11" i="2"/>
  <c r="E11" i="2"/>
  <c r="E19" i="2" s="1"/>
  <c r="E24" i="2" s="1"/>
  <c r="E27" i="2" s="1"/>
  <c r="E85" i="2" s="1"/>
  <c r="E97" i="2" s="1"/>
  <c r="C11" i="2"/>
  <c r="B11" i="2"/>
  <c r="W13" i="5"/>
  <c r="D12" i="5" s="1"/>
  <c r="A39" i="5"/>
  <c r="A40" i="5" s="1"/>
  <c r="A41" i="5" s="1"/>
  <c r="A42" i="5" s="1"/>
  <c r="A43" i="5" s="1"/>
  <c r="A44" i="5" s="1"/>
  <c r="A46" i="5" s="1"/>
  <c r="A48" i="5" s="1"/>
  <c r="A50" i="5" s="1"/>
  <c r="A34" i="5"/>
  <c r="A35" i="5" s="1"/>
  <c r="A36" i="5" s="1"/>
  <c r="A37" i="5" s="1"/>
  <c r="C20" i="5"/>
  <c r="C36" i="5"/>
  <c r="C50" i="5"/>
  <c r="A25" i="5"/>
  <c r="A26" i="5" s="1"/>
  <c r="A27" i="5" s="1"/>
  <c r="A28" i="5" s="1"/>
  <c r="A29" i="5" s="1"/>
  <c r="A30" i="5" s="1"/>
  <c r="D12" i="3" l="1"/>
  <c r="E12" i="3"/>
  <c r="C77" i="2"/>
  <c r="D26" i="3"/>
  <c r="D25" i="3"/>
  <c r="D51" i="3"/>
  <c r="D77" i="2"/>
  <c r="E26" i="3"/>
  <c r="E25" i="3"/>
  <c r="B19" i="2"/>
  <c r="C60" i="3"/>
  <c r="C17" i="3"/>
  <c r="C94" i="3"/>
  <c r="C34" i="3"/>
  <c r="E51" i="3"/>
  <c r="C19" i="2"/>
  <c r="D94" i="3"/>
  <c r="D60" i="3"/>
  <c r="D17" i="3"/>
  <c r="D19" i="2"/>
  <c r="E60" i="3"/>
  <c r="E17" i="3"/>
  <c r="E94" i="3"/>
  <c r="B77" i="2"/>
  <c r="C26" i="3"/>
  <c r="C25" i="3"/>
  <c r="C51" i="3"/>
  <c r="B24" i="2" l="1"/>
  <c r="C100" i="3"/>
  <c r="D24" i="2"/>
  <c r="E100" i="3"/>
  <c r="C24" i="2"/>
  <c r="D100" i="3"/>
  <c r="C27" i="2" l="1"/>
  <c r="D103" i="3"/>
  <c r="D27" i="2"/>
  <c r="E103" i="3"/>
  <c r="B27" i="2"/>
  <c r="E47" i="3" l="1"/>
  <c r="E101" i="3"/>
  <c r="E21" i="3"/>
  <c r="E37" i="3"/>
  <c r="E49" i="3" s="1"/>
  <c r="D85" i="2"/>
  <c r="D97" i="2" s="1"/>
  <c r="E22" i="3"/>
  <c r="E41" i="3"/>
  <c r="E40" i="3" s="1"/>
  <c r="C37" i="3"/>
  <c r="C49" i="3" s="1"/>
  <c r="C47" i="3"/>
  <c r="B85" i="2"/>
  <c r="B97" i="2" s="1"/>
  <c r="C22" i="3"/>
  <c r="C101" i="3"/>
  <c r="C21" i="3"/>
  <c r="C41" i="3"/>
  <c r="C40" i="3" s="1"/>
  <c r="D22" i="3"/>
  <c r="D101" i="3"/>
  <c r="D21" i="3"/>
  <c r="D37" i="3"/>
  <c r="D49" i="3" s="1"/>
  <c r="C85" i="2"/>
  <c r="C97" i="2" s="1"/>
  <c r="D47" i="3"/>
  <c r="D41" i="3"/>
  <c r="D40" i="3" s="1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C19" i="3" l="1"/>
  <c r="C48" i="3"/>
  <c r="C28" i="3"/>
  <c r="C20" i="3"/>
  <c r="E31" i="3"/>
  <c r="E30" i="3" s="1"/>
  <c r="E29" i="3"/>
  <c r="D115" i="2"/>
  <c r="D116" i="2" s="1"/>
  <c r="D19" i="3"/>
  <c r="D48" i="3"/>
  <c r="D28" i="3"/>
  <c r="D20" i="3"/>
  <c r="E28" i="3"/>
  <c r="E48" i="3"/>
  <c r="E20" i="3"/>
  <c r="E19" i="3"/>
  <c r="B115" i="2"/>
  <c r="B116" i="2" s="1"/>
  <c r="C31" i="3"/>
  <c r="C30" i="3" s="1"/>
  <c r="C29" i="3"/>
  <c r="D29" i="3"/>
  <c r="D31" i="3"/>
  <c r="D30" i="3" s="1"/>
  <c r="C115" i="2"/>
  <c r="C116" i="2" s="1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E18" i="3" l="1"/>
  <c r="E50" i="3"/>
  <c r="C18" i="3"/>
  <c r="C50" i="3"/>
  <c r="D18" i="3"/>
  <c r="D50" i="3"/>
  <c r="A34" i="3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<sst xmlns="http://schemas.openxmlformats.org/spreadsheetml/2006/main" count="606" uniqueCount="283">
  <si>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</si>
  <si>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</si>
  <si>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</si>
  <si>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</si>
  <si>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</si>
  <si>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</si>
  <si>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</si>
  <si>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</si>
  <si>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</si>
  <si>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</si>
  <si>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</si>
  <si>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</si>
  <si>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</si>
  <si>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</si>
  <si>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</si>
  <si>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</si>
  <si>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</si>
  <si>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</si>
  <si>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</si>
  <si>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</si>
  <si>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</si>
  <si>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</si>
  <si>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</si>
  <si>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</si>
  <si>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</si>
  <si>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</si>
  <si>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</si>
  <si>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</si>
  <si>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</si>
  <si>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</si>
  <si>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</si>
  <si>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</si>
  <si>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</si>
  <si>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</si>
  <si>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</si>
  <si>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</si>
  <si>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</si>
  <si>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</si>
  <si>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</si>
  <si>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</si>
  <si>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</si>
  <si>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</si>
  <si>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</si>
  <si>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</si>
  <si>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</si>
  <si>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</si>
  <si>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</si>
  <si>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</si>
  <si>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</si>
  <si>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</si>
  <si>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</si>
  <si>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</si>
  <si>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</si>
  <si>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</si>
  <si>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</si>
  <si>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</si>
  <si>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</si>
  <si>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</si>
  <si>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</si>
  <si>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</si>
  <si>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</si>
  <si>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</si>
  <si>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Apple Inc.</t>
  </si>
  <si>
    <t>Years ended September,</t>
  </si>
  <si>
    <t>Added in</t>
  </si>
  <si>
    <t>Net sales:</t>
  </si>
  <si>
    <t>Products</t>
  </si>
  <si>
    <t>Services</t>
  </si>
  <si>
    <t>Total net sales</t>
  </si>
  <si>
    <t>Cost of sales:</t>
  </si>
  <si>
    <t>Total cost of sales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</si>
  <si>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</si>
  <si>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</si>
  <si>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</si>
  <si>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</si>
  <si>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</si>
  <si>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</si>
  <si>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</si>
  <si>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</si>
  <si>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</si>
  <si>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</si>
  <si>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</si>
  <si>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</si>
  <si>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</si>
  <si>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</si>
  <si>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</si>
  <si>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</si>
  <si>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</si>
  <si>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</si>
  <si>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</si>
  <si>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</si>
  <si>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</si>
  <si>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</si>
  <si>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</si>
  <si>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</si>
  <si>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</si>
  <si>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</si>
  <si>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</si>
  <si>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</si>
  <si>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</si>
  <si>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</si>
  <si>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</si>
  <si>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</si>
  <si>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</si>
  <si>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</si>
  <si>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</si>
  <si>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</si>
  <si>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</si>
  <si>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</si>
  <si>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</si>
  <si>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</si>
  <si>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</si>
  <si>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</si>
  <si>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</si>
  <si>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</si>
  <si>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</si>
  <si>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</si>
  <si>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Cashflow Acronym</t>
  </si>
  <si>
    <t>A</t>
  </si>
  <si>
    <t>Assets</t>
  </si>
  <si>
    <t>Adjustments to reconcile net income to cash generated by operating</t>
  </si>
  <si>
    <t>I</t>
  </si>
  <si>
    <t>Increasing</t>
  </si>
  <si>
    <t>Depreciation and amortization</t>
  </si>
  <si>
    <t>R</t>
  </si>
  <si>
    <t>Reduce</t>
  </si>
  <si>
    <t>Share based compensation expense</t>
  </si>
  <si>
    <t>L</t>
  </si>
  <si>
    <t>Liabilities</t>
  </si>
  <si>
    <t>Deferred income tax expense/(benefit)</t>
  </si>
  <si>
    <t>Other</t>
  </si>
  <si>
    <t>Add</t>
  </si>
  <si>
    <t>Changes in operating assets and liabilities:</t>
  </si>
  <si>
    <t>Inventory Change:</t>
  </si>
  <si>
    <t>Decreased by £1484</t>
  </si>
  <si>
    <t>Increased by £2642</t>
  </si>
  <si>
    <t>Increased by £127</t>
  </si>
  <si>
    <t>Other current and non current assets</t>
  </si>
  <si>
    <t>Opening Inventory for 2020</t>
  </si>
  <si>
    <t>Other current and non current liabilities</t>
  </si>
  <si>
    <t>Cash generated by operating activities</t>
  </si>
  <si>
    <t>Opening Payables for 2020</t>
  </si>
  <si>
    <t>Investing activities:</t>
  </si>
  <si>
    <t>Purchases of marketable securities</t>
  </si>
  <si>
    <t>Opening Receivables for 2020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</si>
  <si>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</si>
  <si>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</si>
  <si>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</si>
  <si>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</si>
  <si>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Tax expenses</t>
  </si>
  <si>
    <t>Cash generated by/(used in) investing activities</t>
  </si>
  <si>
    <t>Interest expense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</si>
  <si>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</si>
  <si>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</si>
  <si>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</si>
  <si>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</si>
  <si>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</si>
  <si>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</si>
  <si>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</si>
  <si>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</si>
  <si>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</si>
  <si>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</si>
  <si>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</si>
  <si>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</si>
  <si>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</si>
  <si>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Apple Share Prices on 30th September for each year (in USD) (obtained from https://finance.yahoo.com/quote/AAPL/history?period1=1664496000&amp;period2=1664582400&amp;interval=1d&amp;filter=history&amp;frequency=1d&amp;includeAdjustedClose=true)</t>
  </si>
  <si>
    <t>No. shares outstanding (obtained from https://companiesmarketcap.com/apple/shares-outstanding/)</t>
  </si>
  <si>
    <t>Market Capitalisation</t>
  </si>
  <si>
    <t>Units</t>
  </si>
  <si>
    <t>No units</t>
  </si>
  <si>
    <t>Net Trading Cycle Calculation</t>
  </si>
  <si>
    <t>Raw Materials Holding Period</t>
  </si>
  <si>
    <t>Defensive Interval (in days)</t>
  </si>
  <si>
    <t>Days</t>
  </si>
  <si>
    <t>Note: Included both trade and non-trade receivables as part of total Net Receivables</t>
  </si>
  <si>
    <t>Average Production Period</t>
  </si>
  <si>
    <t>Inventory Days (in days)</t>
  </si>
  <si>
    <t>Payable Days (in days)</t>
  </si>
  <si>
    <t>Receivables Days</t>
  </si>
  <si>
    <t>Receivable Days (in days)</t>
  </si>
  <si>
    <t>Payables Days</t>
  </si>
  <si>
    <t>Net trading cycle (in days)</t>
  </si>
  <si>
    <t>Note: I think I've made a mistake here but I'm not sure where</t>
  </si>
  <si>
    <t>Net Trading Cycle</t>
  </si>
  <si>
    <t>$m</t>
  </si>
  <si>
    <t>$ per share</t>
  </si>
  <si>
    <t>Dividend yield (in USD)</t>
  </si>
  <si>
    <t>Additional Metrics</t>
  </si>
  <si>
    <t>Growth Rates</t>
  </si>
  <si>
    <t>Products Sales</t>
  </si>
  <si>
    <t>Services Sales</t>
  </si>
  <si>
    <t>Net Sales</t>
  </si>
  <si>
    <t>Gross Profit</t>
  </si>
  <si>
    <t>Operating Expenses - R&amp;D</t>
  </si>
  <si>
    <t>Operating Expenses - Selling, general &amp; administrative</t>
  </si>
  <si>
    <t>Main line items on Balance Sheet</t>
  </si>
  <si>
    <t>Current Term debt</t>
  </si>
  <si>
    <t>Non-current Term debt</t>
  </si>
  <si>
    <t>Common stock and additional paid in capital</t>
  </si>
  <si>
    <t>Margins as a % of Net Sales</t>
  </si>
  <si>
    <t>Cost of Goods Solds (COGS)</t>
  </si>
  <si>
    <t>Operating Income</t>
  </si>
  <si>
    <t>Net Profit</t>
  </si>
  <si>
    <t>Income Tax Rate</t>
  </si>
  <si>
    <t>Capex as a % of sales</t>
  </si>
  <si>
    <t>Capex as a % of fixed assets</t>
  </si>
  <si>
    <t>Total Cost of Sales</t>
  </si>
  <si>
    <t>Gross Margin</t>
  </si>
  <si>
    <t>Cost of sales</t>
  </si>
  <si>
    <t>Fulfillment</t>
  </si>
  <si>
    <t>Technology and content</t>
  </si>
  <si>
    <t>Marketing</t>
  </si>
  <si>
    <t>General and administrative</t>
  </si>
  <si>
    <t>Other operating expenses (income), net</t>
  </si>
  <si>
    <t>Interest income</t>
  </si>
  <si>
    <t>Other income (expense), net</t>
  </si>
  <si>
    <t>Total non-operating income (expense)</t>
  </si>
  <si>
    <t>Income (loss) before income taxes</t>
  </si>
  <si>
    <t>Benefit (provision) for income taxes</t>
  </si>
  <si>
    <t>Equity-method investment activity, net of tax</t>
  </si>
  <si>
    <t>Weighted-average  shares used in computation of earnins per share:</t>
  </si>
  <si>
    <t>Net income (loss)</t>
  </si>
  <si>
    <t>Accounts receivable, net and other</t>
  </si>
  <si>
    <t>Non current assets</t>
  </si>
  <si>
    <t>Property and equipment, net</t>
  </si>
  <si>
    <t>Operating leases</t>
  </si>
  <si>
    <t>Goodwill</t>
  </si>
  <si>
    <t>Other assets</t>
  </si>
  <si>
    <t>Accrued expenses and other</t>
  </si>
  <si>
    <t>Unearned revenue</t>
  </si>
  <si>
    <t>Long-term lease liabilities</t>
  </si>
  <si>
    <t>Long-term debt</t>
  </si>
  <si>
    <t>Other long-term liabilities</t>
  </si>
  <si>
    <t>Commitments and contingencies</t>
  </si>
  <si>
    <t>Shareholders' equity:</t>
  </si>
  <si>
    <t>Preferred stock ($0.01 par value, 500 shares authorised; no shares issued or outstanding)</t>
  </si>
  <si>
    <t>Common stock ($0.01 par value; 100,000 shares authorised; 10,644 and 10,757 shares issued; 10,175 and 10,242 shares outstanding</t>
  </si>
  <si>
    <t>Treasury stock, at cost</t>
  </si>
  <si>
    <t>Additional paid-in capital</t>
  </si>
  <si>
    <t>Accumulated other comprehensive income (loss)</t>
  </si>
  <si>
    <t>Total shareholders' equity</t>
  </si>
  <si>
    <t>Total liabilities and shareholders' equity</t>
  </si>
  <si>
    <t>Operating Activities:</t>
  </si>
  <si>
    <t>Depreciation and amortisation of property and equipment and capitalised content costs, operating lease assets, and other</t>
  </si>
  <si>
    <t>Adjustments to reconcile net income (loss) to net cash from operating activities:</t>
  </si>
  <si>
    <t>Stock-based compensation</t>
  </si>
  <si>
    <t>Other expense (income), net</t>
  </si>
  <si>
    <t>Deferred income taxes</t>
  </si>
  <si>
    <t>Cash generated by operating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</si>
  <si>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</si>
  <si>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</si>
  <si>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</si>
  <si>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</si>
  <si>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</si>
  <si>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</si>
  <si>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</si>
  <si>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</si>
  <si>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</si>
  <si>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</si>
  <si>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</si>
  <si>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Foreign currency effect on cash, cash equivalents, and restricted cash</t>
  </si>
  <si>
    <t xml:space="preserve">Increase/(decrease) in cash, cash equivalents and restricted cash </t>
  </si>
  <si>
    <t>Note: Didn't add Equity method investment activity to Net Income since it's net of tax</t>
  </si>
  <si>
    <t>Cash paid for interest on debt</t>
  </si>
  <si>
    <t>Cash paid for interest on finance leases</t>
  </si>
  <si>
    <t>Cash paid for interest on financing obligations</t>
  </si>
  <si>
    <t>Supplemental Cash Flow Disclosure: (p.53 of financial statements)</t>
  </si>
  <si>
    <t>Operating Expenses - Fulfillment</t>
  </si>
  <si>
    <t>Operating Expenses - Technology and content</t>
  </si>
  <si>
    <t>Operating Expenses - Marketing</t>
  </si>
  <si>
    <t>Operating Expenses - General and administrative</t>
  </si>
  <si>
    <t>Property and equipment</t>
  </si>
  <si>
    <t>aka deferred revenue</t>
  </si>
  <si>
    <t>Cash paid for income taxes, net of refunds</t>
  </si>
  <si>
    <t>Share price as at 31st December in USD (https://finance.yahoo.com/quote/AMZN/history):</t>
  </si>
  <si>
    <t>Market capitalisation ($m)</t>
  </si>
  <si>
    <t>No. common shares outstanding (in millions) (from Note 1 in financial statements)</t>
  </si>
  <si>
    <t>Amazon</t>
  </si>
  <si>
    <t>Note: Due to Amazon making a loss before tax in 2022, I determined the income tax rate to be 0% due to Amazon being able to set the loss against profits for future years.</t>
  </si>
  <si>
    <t>2020 to 2022 Measure Growth Rates</t>
  </si>
  <si>
    <t>2021 to 2022 Measure Growth Rates</t>
  </si>
  <si>
    <t>2020 to 2021 Measure Growth Rates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</si>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</sst>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2" tint="-0.249977111117893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9" fillId="0" borderId="0" xfId="0" applyFont="1"/>
    <xf numFmtId="0" fontId="10" fillId="2" borderId="0" xfId="0" applyFont="1" applyFill="1"/>
    <xf numFmtId="0" fontId="10" fillId="0" borderId="0" xfId="0" applyFont="1"/>
    <xf numFmtId="0" fontId="11" fillId="0" borderId="0" xfId="0" applyFont="1"/>
    <xf numFmtId="165" fontId="10" fillId="0" borderId="0" xfId="1" applyNumberFormat="1" applyFont="1"/>
    <xf numFmtId="165" fontId="11" fillId="0" borderId="1" xfId="1" applyNumberFormat="1" applyFont="1" applyBorder="1"/>
    <xf numFmtId="165" fontId="11" fillId="0" borderId="2" xfId="1" applyNumberFormat="1" applyFont="1" applyBorder="1"/>
    <xf numFmtId="0" fontId="10" fillId="4" borderId="0" xfId="0" applyFont="1" applyFill="1"/>
    <xf numFmtId="3" fontId="10" fillId="0" borderId="0" xfId="0" applyNumberFormat="1" applyFont="1"/>
    <xf numFmtId="165" fontId="0" fillId="0" borderId="0" xfId="0" applyNumberFormat="1"/>
    <xf numFmtId="0" fontId="2" fillId="0" borderId="3" xfId="0" applyFont="1" applyBorder="1" applyAlignment="1">
      <alignment horizontal="left"/>
    </xf>
    <xf numFmtId="165" fontId="0" fillId="0" borderId="3" xfId="1" applyNumberFormat="1" applyFont="1" applyBorder="1"/>
    <xf numFmtId="165" fontId="10" fillId="0" borderId="3" xfId="1" applyNumberFormat="1" applyFont="1" applyBorder="1"/>
    <xf numFmtId="165" fontId="11" fillId="0" borderId="0" xfId="1" applyNumberFormat="1" applyFont="1"/>
    <xf numFmtId="2" fontId="0" fillId="0" borderId="0" xfId="0" applyNumberFormat="1"/>
    <xf numFmtId="1" fontId="0" fillId="0" borderId="0" xfId="0" applyNumberFormat="1"/>
    <xf numFmtId="1" fontId="8" fillId="0" borderId="0" xfId="0" applyNumberFormat="1" applyFont="1"/>
    <xf numFmtId="0" fontId="8" fillId="0" borderId="0" xfId="0" applyFont="1"/>
    <xf numFmtId="10" fontId="0" fillId="0" borderId="0" xfId="0" applyNumberFormat="1"/>
    <xf numFmtId="0" fontId="0" fillId="0" borderId="4" xfId="0" applyBorder="1"/>
    <xf numFmtId="0" fontId="12" fillId="0" borderId="0" xfId="0" applyFont="1"/>
    <xf numFmtId="0" fontId="13" fillId="0" borderId="0" xfId="0" applyFont="1"/>
    <xf numFmtId="10" fontId="0" fillId="0" borderId="0" xfId="3" applyNumberFormat="1" applyFont="1"/>
    <xf numFmtId="0" fontId="2" fillId="0" borderId="0" xfId="0" applyFont="1" applyFill="1" applyBorder="1"/>
    <xf numFmtId="0" fontId="0" fillId="0" borderId="0" xfId="0" applyFont="1" applyFill="1" applyBorder="1"/>
    <xf numFmtId="0" fontId="2" fillId="0" borderId="0" xfId="0" applyFont="1" applyBorder="1"/>
    <xf numFmtId="165" fontId="2" fillId="0" borderId="0" xfId="1" applyNumberFormat="1" applyFont="1" applyBorder="1"/>
    <xf numFmtId="0" fontId="0" fillId="0" borderId="0" xfId="0" applyFont="1" applyBorder="1"/>
    <xf numFmtId="0" fontId="2" fillId="0" borderId="3" xfId="0" applyFont="1" applyBorder="1"/>
    <xf numFmtId="165" fontId="2" fillId="0" borderId="3" xfId="1" applyNumberFormat="1" applyFont="1" applyBorder="1"/>
    <xf numFmtId="165" fontId="1" fillId="0" borderId="0" xfId="1" applyNumberFormat="1" applyFont="1" applyBorder="1"/>
    <xf numFmtId="164" fontId="0" fillId="4" borderId="0" xfId="1" applyNumberFormat="1" applyFont="1" applyFill="1"/>
    <xf numFmtId="0" fontId="0" fillId="0" borderId="0" xfId="0" applyAlignment="1"/>
    <xf numFmtId="0" fontId="2" fillId="0" borderId="0" xfId="0" applyFont="1" applyBorder="1" applyAlignment="1"/>
    <xf numFmtId="165" fontId="0" fillId="0" borderId="0" xfId="1" applyNumberFormat="1" applyFont="1" applyBorder="1"/>
    <xf numFmtId="165" fontId="14" fillId="0" borderId="0" xfId="1" applyNumberFormat="1" applyFont="1"/>
    <xf numFmtId="165" fontId="9" fillId="0" borderId="1" xfId="1" applyNumberFormat="1" applyFont="1" applyBorder="1"/>
    <xf numFmtId="165" fontId="9" fillId="0" borderId="3" xfId="1" applyNumberFormat="1" applyFont="1" applyBorder="1"/>
    <xf numFmtId="165" fontId="9" fillId="0" borderId="0" xfId="1" applyNumberFormat="1" applyFont="1" applyBorder="1"/>
    <xf numFmtId="165" fontId="14" fillId="0" borderId="0" xfId="1" applyNumberFormat="1" applyFont="1" applyBorder="1"/>
    <xf numFmtId="165" fontId="9" fillId="0" borderId="2" xfId="1" applyNumberFormat="1" applyFont="1" applyBorder="1"/>
    <xf numFmtId="0" fontId="14" fillId="0" borderId="0" xfId="0" applyFont="1"/>
    <xf numFmtId="0" fontId="0" fillId="0" borderId="0" xfId="0" applyFill="1"/>
    <xf numFmtId="0" fontId="0" fillId="0" borderId="0" xfId="0" applyFill="1" applyAlignment="1">
      <alignment horizontal="left" indent="2"/>
    </xf>
    <xf numFmtId="10" fontId="8" fillId="0" borderId="0" xfId="0" applyNumberFormat="1" applyFont="1" applyFill="1"/>
    <xf numFmtId="0" fontId="8" fillId="0" borderId="0" xfId="0" applyFont="1" applyAlignment="1">
      <alignment horizontal="center" vertical="top" wrapText="1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left"/>
    </xf>
    <xf numFmtId="0" fontId="17" fillId="2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wrapText="1"/>
    </xf>
    <xf numFmtId="166" fontId="17" fillId="0" borderId="0" xfId="0" applyNumberFormat="1" applyFo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left" indent="1"/>
    </xf>
    <xf numFmtId="2" fontId="17" fillId="0" borderId="0" xfId="0" applyNumberFormat="1" applyFont="1"/>
    <xf numFmtId="10" fontId="17" fillId="0" borderId="0" xfId="0" applyNumberFormat="1" applyFont="1"/>
    <xf numFmtId="1" fontId="17" fillId="0" borderId="0" xfId="0" applyNumberFormat="1" applyFont="1"/>
    <xf numFmtId="0" fontId="17" fillId="0" borderId="0" xfId="0" applyFont="1" applyAlignment="1">
      <alignment horizontal="left" indent="2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center" vertical="top" wrapText="1"/>
    </xf>
    <xf numFmtId="0" fontId="17" fillId="0" borderId="0" xfId="0" applyFont="1" applyFill="1" applyAlignment="1">
      <alignment horizontal="left" indent="1"/>
    </xf>
    <xf numFmtId="2" fontId="17" fillId="0" borderId="0" xfId="0" applyNumberFormat="1" applyFont="1" applyFill="1" applyAlignment="1">
      <alignment horizontal="right" indent="1"/>
    </xf>
    <xf numFmtId="165" fontId="17" fillId="0" borderId="0" xfId="1" applyNumberFormat="1" applyFont="1"/>
    <xf numFmtId="0" fontId="20" fillId="0" borderId="0" xfId="0" applyFont="1"/>
    <xf numFmtId="0" fontId="17" fillId="0" borderId="0" xfId="0" applyFont="1" applyBorder="1"/>
    <xf numFmtId="10" fontId="17" fillId="0" borderId="0" xfId="0" applyNumberFormat="1" applyFont="1" applyAlignment="1">
      <alignment horizontal="right"/>
    </xf>
    <xf numFmtId="0" fontId="17" fillId="0" borderId="0" xfId="0" applyFont="1" applyFill="1"/>
  </cellXfs>
  <cellStyles count="4">
    <cellStyle name="Comma" xfId="1" builtinId="3"/>
    <cellStyle name="Hyperlink" xfId="2" builtinId="8"/>
    <cellStyle name="Normal" xfId="0" builtinId="0"/>
    <cellStyle name="Percent 2" xfId="3" xr:uid="{EB06299F-B5AF-4143-80F5-F21AD0256A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D:\SynologyDrive\Jobs\September%202023%20Job%20Applications\Banking\Venture%20Capital%20Careers%20Jobsite\Trainee%20Investment%20Analyst%20-%20Quill%20Capital%20Partners\Level%201\Task%201%20-%20Ratio%20Calculations\1708509884_Task%201%20Ratio%20Calculations%20-%20Ussmaan%20Qureshi.xlsx" TargetMode="External"/><Relationship Id="rId2" Type="http://schemas.microsoft.com/office/2019/04/relationships/externalLinkLongPath" Target="/SynologyDrive/Jobs/September%202023%20Job%20Applications/Banking/Venture%20Capital%20Careers%20Jobsite/Trainee%20Investment%20Analyst%20-%20Quill%20Capital%20Partners/Level%201/Task%201%20-%20Ratio%20Calculations/1708509884_Task%201%20Ratio%20Calculations%20-%20Ussmaan%20Qureshi.xlsx?CD9BE675" TargetMode="External"/><Relationship Id="rId1" Type="http://schemas.openxmlformats.org/officeDocument/2006/relationships/externalLinkPath" Target="file:///\\CD9BE675\1708509884_Task%201%20Ratio%20Calculations%20-%20Ussmaan%20Quresh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structions"/>
      <sheetName val="Financial Statements - Apple"/>
      <sheetName val="List of Ratios - Apple"/>
    </sheetNames>
    <sheetDataSet>
      <sheetData sheetId="0"/>
      <sheetData sheetId="1">
        <row r="4">
          <cell r="B4">
            <v>2022</v>
          </cell>
          <cell r="C4">
            <v>2021</v>
          </cell>
          <cell r="D4">
            <v>2020</v>
          </cell>
        </row>
        <row r="6">
          <cell r="B6">
            <v>316199</v>
          </cell>
          <cell r="C6">
            <v>297392</v>
          </cell>
          <cell r="D6">
            <v>220747</v>
          </cell>
          <cell r="E6">
            <v>213883</v>
          </cell>
        </row>
        <row r="7">
          <cell r="B7">
            <v>78129</v>
          </cell>
          <cell r="C7">
            <v>68425</v>
          </cell>
          <cell r="D7">
            <v>53768</v>
          </cell>
          <cell r="E7">
            <v>46291</v>
          </cell>
        </row>
        <row r="8">
          <cell r="B8">
            <v>394328</v>
          </cell>
          <cell r="C8">
            <v>365817</v>
          </cell>
          <cell r="D8">
            <v>274515</v>
          </cell>
          <cell r="E8">
            <v>260174</v>
          </cell>
        </row>
        <row r="12">
          <cell r="B12">
            <v>223546</v>
          </cell>
          <cell r="C12">
            <v>212981</v>
          </cell>
          <cell r="D12">
            <v>169559</v>
          </cell>
        </row>
        <row r="13">
          <cell r="B13">
            <v>170782</v>
          </cell>
          <cell r="C13">
            <v>152836</v>
          </cell>
          <cell r="D13">
            <v>104956</v>
          </cell>
          <cell r="E13">
            <v>98392</v>
          </cell>
        </row>
        <row r="15">
          <cell r="B15">
            <v>26251</v>
          </cell>
          <cell r="C15">
            <v>21914</v>
          </cell>
          <cell r="D15">
            <v>18752</v>
          </cell>
          <cell r="E15">
            <v>16217</v>
          </cell>
        </row>
        <row r="16">
          <cell r="B16">
            <v>25094</v>
          </cell>
          <cell r="C16">
            <v>21973</v>
          </cell>
          <cell r="D16">
            <v>19916</v>
          </cell>
          <cell r="E16">
            <v>18245</v>
          </cell>
        </row>
        <row r="17">
          <cell r="B17">
            <v>51345</v>
          </cell>
          <cell r="C17">
            <v>43887</v>
          </cell>
          <cell r="D17">
            <v>38668</v>
          </cell>
        </row>
        <row r="18">
          <cell r="B18">
            <v>119437</v>
          </cell>
          <cell r="C18">
            <v>108949</v>
          </cell>
          <cell r="D18">
            <v>66288</v>
          </cell>
        </row>
        <row r="20">
          <cell r="B20">
            <v>119103</v>
          </cell>
          <cell r="C20">
            <v>109207</v>
          </cell>
          <cell r="D20">
            <v>67091</v>
          </cell>
        </row>
        <row r="21">
          <cell r="B21">
            <v>19300</v>
          </cell>
          <cell r="C21">
            <v>14527</v>
          </cell>
          <cell r="D21">
            <v>9680</v>
          </cell>
        </row>
        <row r="22">
          <cell r="B22">
            <v>99803</v>
          </cell>
          <cell r="C22">
            <v>94680</v>
          </cell>
          <cell r="D22">
            <v>57411</v>
          </cell>
        </row>
        <row r="36">
          <cell r="B36">
            <v>23646</v>
          </cell>
          <cell r="C36">
            <v>34940</v>
          </cell>
          <cell r="D36">
            <v>38016</v>
          </cell>
          <cell r="E36">
            <v>48844</v>
          </cell>
        </row>
        <row r="37">
          <cell r="B37">
            <v>24658</v>
          </cell>
          <cell r="C37">
            <v>27699</v>
          </cell>
          <cell r="D37">
            <v>52927</v>
          </cell>
          <cell r="E37">
            <v>51713</v>
          </cell>
        </row>
        <row r="38">
          <cell r="B38">
            <v>28184</v>
          </cell>
          <cell r="C38">
            <v>26278</v>
          </cell>
          <cell r="D38">
            <v>16120</v>
          </cell>
          <cell r="E38">
            <v>22926</v>
          </cell>
        </row>
        <row r="39">
          <cell r="B39">
            <v>4946</v>
          </cell>
          <cell r="C39">
            <v>6580</v>
          </cell>
          <cell r="D39">
            <v>4061</v>
          </cell>
          <cell r="E39">
            <v>4106</v>
          </cell>
        </row>
        <row r="40">
          <cell r="B40">
            <v>32748</v>
          </cell>
          <cell r="C40">
            <v>25228</v>
          </cell>
          <cell r="D40">
            <v>21325</v>
          </cell>
          <cell r="E40">
            <v>22878</v>
          </cell>
        </row>
        <row r="41">
          <cell r="B41">
            <v>21223</v>
          </cell>
          <cell r="C41">
            <v>14111</v>
          </cell>
          <cell r="D41">
            <v>11264</v>
          </cell>
          <cell r="E41">
            <v>12352</v>
          </cell>
        </row>
        <row r="42">
          <cell r="B42">
            <v>135405</v>
          </cell>
          <cell r="C42">
            <v>134836</v>
          </cell>
          <cell r="D42">
            <v>143713</v>
          </cell>
        </row>
        <row r="44">
          <cell r="B44">
            <v>120805</v>
          </cell>
          <cell r="C44">
            <v>127877</v>
          </cell>
          <cell r="D44">
            <v>100887</v>
          </cell>
          <cell r="E44">
            <v>105341</v>
          </cell>
        </row>
        <row r="45">
          <cell r="B45">
            <v>42117</v>
          </cell>
          <cell r="C45">
            <v>39440</v>
          </cell>
          <cell r="D45">
            <v>36766</v>
          </cell>
          <cell r="E45">
            <v>37378</v>
          </cell>
        </row>
        <row r="46">
          <cell r="B46">
            <v>54428</v>
          </cell>
          <cell r="C46">
            <v>48849</v>
          </cell>
          <cell r="D46">
            <v>42522</v>
          </cell>
          <cell r="E46">
            <v>32978</v>
          </cell>
        </row>
        <row r="48">
          <cell r="B48">
            <v>352755</v>
          </cell>
          <cell r="C48">
            <v>351002</v>
          </cell>
          <cell r="D48">
            <v>323888</v>
          </cell>
          <cell r="E48">
            <v>338516</v>
          </cell>
        </row>
        <row r="51">
          <cell r="B51">
            <v>64115</v>
          </cell>
          <cell r="C51">
            <v>54763</v>
          </cell>
          <cell r="D51">
            <v>42296</v>
          </cell>
          <cell r="E51">
            <v>46236</v>
          </cell>
        </row>
        <row r="52">
          <cell r="B52">
            <v>60845</v>
          </cell>
          <cell r="C52">
            <v>47493</v>
          </cell>
          <cell r="D52">
            <v>42684</v>
          </cell>
          <cell r="E52">
            <v>37720</v>
          </cell>
        </row>
        <row r="53">
          <cell r="B53">
            <v>7912</v>
          </cell>
          <cell r="C53">
            <v>7612</v>
          </cell>
          <cell r="D53">
            <v>6643</v>
          </cell>
          <cell r="E53">
            <v>5522</v>
          </cell>
        </row>
        <row r="54">
          <cell r="B54">
            <v>9982</v>
          </cell>
          <cell r="C54">
            <v>6000</v>
          </cell>
          <cell r="D54">
            <v>4996</v>
          </cell>
          <cell r="E54">
            <v>5980</v>
          </cell>
        </row>
        <row r="55">
          <cell r="B55">
            <v>11128</v>
          </cell>
          <cell r="C55">
            <v>9613</v>
          </cell>
          <cell r="D55">
            <v>8773</v>
          </cell>
          <cell r="E55">
            <v>10260</v>
          </cell>
        </row>
        <row r="56">
          <cell r="B56">
            <v>153982</v>
          </cell>
          <cell r="C56">
            <v>125481</v>
          </cell>
          <cell r="D56">
            <v>105392</v>
          </cell>
        </row>
        <row r="59">
          <cell r="B59">
            <v>98959</v>
          </cell>
          <cell r="C59">
            <v>109106</v>
          </cell>
          <cell r="D59">
            <v>98667</v>
          </cell>
          <cell r="E59">
            <v>91807</v>
          </cell>
        </row>
        <row r="60">
          <cell r="B60">
            <v>49142</v>
          </cell>
          <cell r="C60">
            <v>53325</v>
          </cell>
          <cell r="D60">
            <v>54490</v>
          </cell>
          <cell r="E60">
            <v>50503</v>
          </cell>
        </row>
        <row r="61">
          <cell r="B61">
            <v>148101</v>
          </cell>
          <cell r="C61">
            <v>162431</v>
          </cell>
          <cell r="D61">
            <v>153157</v>
          </cell>
        </row>
        <row r="62">
          <cell r="B62">
            <v>302083</v>
          </cell>
          <cell r="C62">
            <v>287912</v>
          </cell>
          <cell r="D62">
            <v>258549</v>
          </cell>
        </row>
        <row r="65">
          <cell r="B65">
            <v>64849</v>
          </cell>
          <cell r="C65">
            <v>57365</v>
          </cell>
          <cell r="D65">
            <v>50779</v>
          </cell>
          <cell r="E65">
            <v>45174</v>
          </cell>
        </row>
        <row r="66">
          <cell r="B66">
            <v>-3068</v>
          </cell>
          <cell r="C66">
            <v>5562</v>
          </cell>
          <cell r="D66">
            <v>14966</v>
          </cell>
          <cell r="E66">
            <v>45898</v>
          </cell>
        </row>
        <row r="67">
          <cell r="B67">
            <v>-11109</v>
          </cell>
          <cell r="C67">
            <v>163</v>
          </cell>
          <cell r="D67">
            <v>-406</v>
          </cell>
          <cell r="E67">
            <v>-584</v>
          </cell>
        </row>
        <row r="68">
          <cell r="B68">
            <v>50672</v>
          </cell>
          <cell r="C68">
            <v>63090</v>
          </cell>
          <cell r="D68">
            <v>65339</v>
          </cell>
        </row>
        <row r="79">
          <cell r="B79">
            <v>11104</v>
          </cell>
          <cell r="C79">
            <v>11284</v>
          </cell>
          <cell r="D79">
            <v>11056</v>
          </cell>
        </row>
        <row r="81">
          <cell r="B81">
            <v>895</v>
          </cell>
          <cell r="C81">
            <v>-4774</v>
          </cell>
          <cell r="D81">
            <v>-215</v>
          </cell>
        </row>
        <row r="84">
          <cell r="D84">
            <v>6917</v>
          </cell>
        </row>
        <row r="88">
          <cell r="D88">
            <v>-4062</v>
          </cell>
        </row>
        <row r="91">
          <cell r="B91">
            <v>122151</v>
          </cell>
          <cell r="C91">
            <v>104038</v>
          </cell>
          <cell r="D91">
            <v>80674</v>
          </cell>
        </row>
        <row r="96">
          <cell r="B96">
            <v>-10708</v>
          </cell>
          <cell r="C96">
            <v>-11085</v>
          </cell>
          <cell r="D96">
            <v>-7309</v>
          </cell>
        </row>
        <row r="101">
          <cell r="B101">
            <v>-6223</v>
          </cell>
          <cell r="C101">
            <v>-6556</v>
          </cell>
          <cell r="D101">
            <v>-3634</v>
          </cell>
        </row>
        <row r="102">
          <cell r="B102">
            <v>-14841</v>
          </cell>
          <cell r="C102">
            <v>-14467</v>
          </cell>
          <cell r="D102">
            <v>-14081</v>
          </cell>
        </row>
        <row r="104">
          <cell r="B104">
            <v>5465</v>
          </cell>
          <cell r="C104">
            <v>20393</v>
          </cell>
          <cell r="D104">
            <v>16091</v>
          </cell>
        </row>
        <row r="105">
          <cell r="B105">
            <v>-9543</v>
          </cell>
          <cell r="C105">
            <v>-8750</v>
          </cell>
          <cell r="D105">
            <v>-12629</v>
          </cell>
        </row>
        <row r="106">
          <cell r="B106">
            <v>3955</v>
          </cell>
          <cell r="C106">
            <v>1022</v>
          </cell>
          <cell r="D106">
            <v>-963</v>
          </cell>
        </row>
        <row r="113">
          <cell r="B113">
            <v>19573</v>
          </cell>
          <cell r="C113">
            <v>25385</v>
          </cell>
          <cell r="D113">
            <v>9501</v>
          </cell>
        </row>
        <row r="114">
          <cell r="B114">
            <v>2865</v>
          </cell>
          <cell r="C114">
            <v>2687</v>
          </cell>
          <cell r="D114">
            <v>3002</v>
          </cell>
        </row>
        <row r="117">
          <cell r="B117">
            <v>138.19999999999999</v>
          </cell>
          <cell r="C117">
            <v>141.5</v>
          </cell>
          <cell r="D117">
            <v>115.81</v>
          </cell>
        </row>
        <row r="118">
          <cell r="B118">
            <v>16030</v>
          </cell>
          <cell r="C118">
            <v>16490</v>
          </cell>
          <cell r="D118">
            <v>17060</v>
          </cell>
        </row>
        <row r="119">
          <cell r="B119">
            <v>2215346</v>
          </cell>
          <cell r="C119">
            <v>2333335</v>
          </cell>
          <cell r="D119">
            <v>1975718.6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35" sqref="A35"/>
    </sheetView>
  </sheetViews>
  <sheetFormatPr defaultRowHeight="15" x14ac:dyDescent="0.25"/>
  <cols>
    <col min="1" max="1" width="157.85546875" style="2" customWidth="1"/>
  </cols>
  <sheetData>
    <row r="1" spans="1:1" ht="23.25" x14ac:dyDescent="0.35">
      <c r="A1" s="3" t="s">
        <v>0</v>
      </c>
    </row>
    <row r="3" spans="1:1" x14ac:dyDescent="0.25">
      <c r="A3" s="2" t="s">
        <v>61</v>
      </c>
    </row>
    <row r="4" spans="1:1" x14ac:dyDescent="0.25">
      <c r="A4" s="5" t="s">
        <v>5</v>
      </c>
    </row>
    <row r="5" spans="1:1" x14ac:dyDescent="0.25">
      <c r="A5" s="6" t="s">
        <v>1</v>
      </c>
    </row>
    <row r="7" spans="1:1" x14ac:dyDescent="0.25">
      <c r="A7" s="2" t="s">
        <v>59</v>
      </c>
    </row>
    <row r="8" spans="1:1" x14ac:dyDescent="0.25">
      <c r="A8" s="2" t="s">
        <v>60</v>
      </c>
    </row>
    <row r="9" spans="1:1" ht="30" x14ac:dyDescent="0.25">
      <c r="A9" s="2" t="s">
        <v>2</v>
      </c>
    </row>
    <row r="10" spans="1:1" x14ac:dyDescent="0.25">
      <c r="A10" s="2" t="s">
        <v>6</v>
      </c>
    </row>
    <row r="11" spans="1:1" x14ac:dyDescent="0.25">
      <c r="A11" s="2" t="s">
        <v>4</v>
      </c>
    </row>
    <row r="13" spans="1:1" x14ac:dyDescent="0.25">
      <c r="A13" s="4" t="s">
        <v>3</v>
      </c>
    </row>
    <row r="14" spans="1:1" x14ac:dyDescent="0.25">
      <c r="A14" s="2" t="s">
        <v>7</v>
      </c>
    </row>
    <row r="15" spans="1:1" x14ac:dyDescent="0.2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7"/>
  <sheetViews>
    <sheetView topLeftCell="A86" workbookViewId="0">
      <selection activeCell="A134" sqref="A134"/>
    </sheetView>
  </sheetViews>
  <sheetFormatPr defaultRowHeight="15" x14ac:dyDescent="0.25"/>
  <cols>
    <col min="1" max="1" width="74.5703125" customWidth="1"/>
    <col min="2" max="3" width="11.5703125" bestFit="1" customWidth="1"/>
    <col min="4" max="4" width="11.7109375" bestFit="1" customWidth="1"/>
    <col min="5" max="5" width="10.5703125" bestFit="1" customWidth="1"/>
  </cols>
  <sheetData>
    <row r="1" spans="1:10" ht="60" customHeight="1" x14ac:dyDescent="0.25">
      <c r="A1" s="7" t="s">
        <v>277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5">
      <c r="A2" s="25" t="s">
        <v>10</v>
      </c>
      <c r="B2" s="25"/>
      <c r="C2" s="25"/>
      <c r="D2" s="25"/>
    </row>
    <row r="3" spans="1:10" x14ac:dyDescent="0.25">
      <c r="B3" s="24" t="s">
        <v>56</v>
      </c>
      <c r="C3" s="24"/>
      <c r="D3" s="24"/>
    </row>
    <row r="4" spans="1:10" x14ac:dyDescent="0.25">
      <c r="B4" s="9">
        <v>2022</v>
      </c>
      <c r="C4" s="9">
        <v>2021</v>
      </c>
      <c r="D4" s="9">
        <v>2020</v>
      </c>
      <c r="E4" s="26">
        <v>2019</v>
      </c>
    </row>
    <row r="5" spans="1:10" x14ac:dyDescent="0.25">
      <c r="A5" t="s">
        <v>65</v>
      </c>
    </row>
    <row r="6" spans="1:10" x14ac:dyDescent="0.25">
      <c r="A6" s="1" t="s">
        <v>66</v>
      </c>
      <c r="B6" s="10">
        <v>242901</v>
      </c>
      <c r="C6" s="10">
        <v>241787</v>
      </c>
      <c r="D6" s="10">
        <v>215915</v>
      </c>
      <c r="E6" s="61">
        <v>160408</v>
      </c>
    </row>
    <row r="7" spans="1:10" x14ac:dyDescent="0.25">
      <c r="A7" s="1" t="s">
        <v>67</v>
      </c>
      <c r="B7" s="10">
        <v>271082</v>
      </c>
      <c r="C7" s="10">
        <v>228035</v>
      </c>
      <c r="D7" s="10">
        <v>170149</v>
      </c>
      <c r="E7" s="61">
        <v>120114</v>
      </c>
    </row>
    <row r="8" spans="1:10" x14ac:dyDescent="0.25">
      <c r="A8" s="11" t="s">
        <v>68</v>
      </c>
      <c r="B8" s="12">
        <f t="shared" ref="B8:C8" si="0">SUM(B6:B7)</f>
        <v>513983</v>
      </c>
      <c r="C8" s="12">
        <f t="shared" si="0"/>
        <v>469822</v>
      </c>
      <c r="D8" s="12">
        <f>SUM(D6:D7)</f>
        <v>386064</v>
      </c>
      <c r="E8" s="62">
        <f>SUM(E6:E7)</f>
        <v>280522</v>
      </c>
    </row>
    <row r="9" spans="1:10" x14ac:dyDescent="0.25">
      <c r="A9" t="s">
        <v>208</v>
      </c>
      <c r="B9" s="10">
        <v>288831</v>
      </c>
      <c r="C9" s="10">
        <v>272344</v>
      </c>
      <c r="D9" s="10">
        <v>233307</v>
      </c>
      <c r="E9" s="61">
        <v>165536</v>
      </c>
    </row>
    <row r="10" spans="1:10" x14ac:dyDescent="0.25">
      <c r="A10" s="11" t="s">
        <v>206</v>
      </c>
      <c r="B10" s="12">
        <f t="shared" ref="B10:C10" si="1">B9</f>
        <v>288831</v>
      </c>
      <c r="C10" s="12">
        <f t="shared" si="1"/>
        <v>272344</v>
      </c>
      <c r="D10" s="12">
        <f>D9</f>
        <v>233307</v>
      </c>
      <c r="E10" s="62">
        <f>E9</f>
        <v>165536</v>
      </c>
    </row>
    <row r="11" spans="1:10" x14ac:dyDescent="0.25">
      <c r="A11" s="11" t="s">
        <v>207</v>
      </c>
      <c r="B11" s="12">
        <f t="shared" ref="B11:C11" si="2">B8-B10</f>
        <v>225152</v>
      </c>
      <c r="C11" s="12">
        <f t="shared" si="2"/>
        <v>197478</v>
      </c>
      <c r="D11" s="12">
        <f>D8-D10</f>
        <v>152757</v>
      </c>
      <c r="E11" s="62">
        <f>E8-E10</f>
        <v>114986</v>
      </c>
    </row>
    <row r="12" spans="1:10" x14ac:dyDescent="0.25">
      <c r="A12" s="50" t="s">
        <v>71</v>
      </c>
      <c r="B12" s="10"/>
      <c r="C12" s="10"/>
      <c r="D12" s="10"/>
      <c r="E12" s="61"/>
    </row>
    <row r="13" spans="1:10" x14ac:dyDescent="0.25">
      <c r="A13" s="1" t="s">
        <v>209</v>
      </c>
      <c r="B13" s="10">
        <v>84299</v>
      </c>
      <c r="C13" s="10">
        <v>75111</v>
      </c>
      <c r="D13" s="10">
        <v>58517</v>
      </c>
      <c r="E13" s="61">
        <v>40232</v>
      </c>
    </row>
    <row r="14" spans="1:10" x14ac:dyDescent="0.25">
      <c r="A14" s="1" t="s">
        <v>210</v>
      </c>
      <c r="B14" s="10">
        <v>73213</v>
      </c>
      <c r="C14" s="10">
        <v>56052</v>
      </c>
      <c r="D14" s="10">
        <v>42740</v>
      </c>
      <c r="E14" s="61">
        <v>35931</v>
      </c>
    </row>
    <row r="15" spans="1:10" x14ac:dyDescent="0.25">
      <c r="A15" s="1" t="s">
        <v>211</v>
      </c>
      <c r="B15" s="10">
        <v>42238</v>
      </c>
      <c r="C15" s="10">
        <v>32551</v>
      </c>
      <c r="D15" s="10">
        <v>22008</v>
      </c>
      <c r="E15" s="61">
        <v>18878</v>
      </c>
    </row>
    <row r="16" spans="1:10" x14ac:dyDescent="0.25">
      <c r="A16" s="1" t="s">
        <v>212</v>
      </c>
      <c r="B16" s="10">
        <v>11891</v>
      </c>
      <c r="C16" s="10">
        <v>8823</v>
      </c>
      <c r="D16" s="10">
        <v>6668</v>
      </c>
      <c r="E16" s="61">
        <v>5203</v>
      </c>
    </row>
    <row r="17" spans="1:5" x14ac:dyDescent="0.25">
      <c r="A17" s="1" t="s">
        <v>213</v>
      </c>
      <c r="B17" s="10">
        <v>1263</v>
      </c>
      <c r="C17" s="10">
        <v>62</v>
      </c>
      <c r="D17" s="10">
        <v>-75</v>
      </c>
      <c r="E17" s="61">
        <v>201</v>
      </c>
    </row>
    <row r="18" spans="1:5" x14ac:dyDescent="0.25">
      <c r="A18" s="54" t="s">
        <v>74</v>
      </c>
      <c r="B18" s="55">
        <f t="shared" ref="B18:C18" si="3">SUM(B13:B17)</f>
        <v>212904</v>
      </c>
      <c r="C18" s="55">
        <f t="shared" si="3"/>
        <v>172599</v>
      </c>
      <c r="D18" s="55">
        <f>SUM(D13:D17)</f>
        <v>129858</v>
      </c>
      <c r="E18" s="63">
        <f>SUM(E13:E17)</f>
        <v>100445</v>
      </c>
    </row>
    <row r="19" spans="1:5" s="51" customFormat="1" x14ac:dyDescent="0.25">
      <c r="A19" s="51" t="s">
        <v>75</v>
      </c>
      <c r="B19" s="52">
        <f t="shared" ref="B19:C19" si="4">B11-B18</f>
        <v>12248</v>
      </c>
      <c r="C19" s="52">
        <f t="shared" si="4"/>
        <v>24879</v>
      </c>
      <c r="D19" s="52">
        <f>D11-D18</f>
        <v>22899</v>
      </c>
      <c r="E19" s="64">
        <f>E11-E18</f>
        <v>14541</v>
      </c>
    </row>
    <row r="20" spans="1:5" s="51" customFormat="1" x14ac:dyDescent="0.25">
      <c r="A20" s="53" t="s">
        <v>214</v>
      </c>
      <c r="B20" s="56">
        <v>989</v>
      </c>
      <c r="C20" s="56">
        <v>448</v>
      </c>
      <c r="D20" s="56">
        <v>555</v>
      </c>
      <c r="E20" s="65">
        <v>832</v>
      </c>
    </row>
    <row r="21" spans="1:5" s="51" customFormat="1" x14ac:dyDescent="0.25">
      <c r="A21" s="53" t="s">
        <v>151</v>
      </c>
      <c r="B21" s="56">
        <v>-2367</v>
      </c>
      <c r="C21" s="56">
        <v>-1809</v>
      </c>
      <c r="D21" s="56">
        <v>-1647</v>
      </c>
      <c r="E21" s="65">
        <v>-1600</v>
      </c>
    </row>
    <row r="22" spans="1:5" s="51" customFormat="1" x14ac:dyDescent="0.25">
      <c r="A22" s="53" t="s">
        <v>215</v>
      </c>
      <c r="B22" s="56">
        <v>-16806</v>
      </c>
      <c r="C22" s="56">
        <v>14633</v>
      </c>
      <c r="D22" s="56">
        <v>2371</v>
      </c>
      <c r="E22" s="65">
        <v>203</v>
      </c>
    </row>
    <row r="23" spans="1:5" x14ac:dyDescent="0.25">
      <c r="A23" s="54" t="s">
        <v>216</v>
      </c>
      <c r="B23" s="55">
        <f t="shared" ref="B23:C23" si="5">SUM(B20:B22)</f>
        <v>-18184</v>
      </c>
      <c r="C23" s="55">
        <f t="shared" si="5"/>
        <v>13272</v>
      </c>
      <c r="D23" s="55">
        <f>SUM(D20:D22)</f>
        <v>1279</v>
      </c>
      <c r="E23" s="63">
        <f>SUM(E20:E22)</f>
        <v>-565</v>
      </c>
    </row>
    <row r="24" spans="1:5" x14ac:dyDescent="0.25">
      <c r="A24" s="51" t="s">
        <v>217</v>
      </c>
      <c r="B24" s="52">
        <f t="shared" ref="B24:C24" si="6">B19+B23</f>
        <v>-5936</v>
      </c>
      <c r="C24" s="52">
        <f t="shared" si="6"/>
        <v>38151</v>
      </c>
      <c r="D24" s="52">
        <f>D19+D23</f>
        <v>24178</v>
      </c>
      <c r="E24" s="64">
        <f>E19+E23</f>
        <v>13976</v>
      </c>
    </row>
    <row r="25" spans="1:5" x14ac:dyDescent="0.25">
      <c r="A25" s="50" t="s">
        <v>218</v>
      </c>
      <c r="B25" s="56">
        <v>3217</v>
      </c>
      <c r="C25" s="56">
        <v>-4791</v>
      </c>
      <c r="D25" s="56">
        <v>-2863</v>
      </c>
      <c r="E25" s="65">
        <v>-2374</v>
      </c>
    </row>
    <row r="26" spans="1:5" x14ac:dyDescent="0.25">
      <c r="A26" s="53" t="s">
        <v>219</v>
      </c>
      <c r="B26" s="56">
        <v>-3</v>
      </c>
      <c r="C26" s="56">
        <v>4</v>
      </c>
      <c r="D26" s="56">
        <v>16</v>
      </c>
      <c r="E26" s="65">
        <v>-14</v>
      </c>
    </row>
    <row r="27" spans="1:5" ht="15.75" thickBot="1" x14ac:dyDescent="0.3">
      <c r="A27" s="13" t="s">
        <v>221</v>
      </c>
      <c r="B27" s="14">
        <f t="shared" ref="B27:C27" si="7">SUM(B24:B26)</f>
        <v>-2722</v>
      </c>
      <c r="C27" s="14">
        <f t="shared" si="7"/>
        <v>33364</v>
      </c>
      <c r="D27" s="14">
        <f>SUM(D24:D26)</f>
        <v>21331</v>
      </c>
      <c r="E27" s="66">
        <f>SUM(E24:E26)</f>
        <v>11588</v>
      </c>
    </row>
    <row r="28" spans="1:5" ht="15.75" thickTop="1" x14ac:dyDescent="0.25">
      <c r="B28" s="10"/>
      <c r="C28" s="10"/>
      <c r="D28" s="10"/>
      <c r="E28" s="10"/>
    </row>
    <row r="29" spans="1:5" x14ac:dyDescent="0.25">
      <c r="B29" s="10"/>
      <c r="C29" s="10"/>
      <c r="D29" s="10"/>
      <c r="E29" s="10"/>
    </row>
    <row r="30" spans="1:5" x14ac:dyDescent="0.25">
      <c r="A30" t="s">
        <v>80</v>
      </c>
      <c r="B30" s="10"/>
      <c r="C30" s="10"/>
      <c r="D30" s="10"/>
      <c r="E30" s="10"/>
    </row>
    <row r="31" spans="1:5" x14ac:dyDescent="0.25">
      <c r="A31" s="1" t="s">
        <v>81</v>
      </c>
      <c r="B31" s="57">
        <v>-0.27</v>
      </c>
      <c r="C31" s="57">
        <v>3.3</v>
      </c>
      <c r="D31" s="57">
        <v>2.13</v>
      </c>
      <c r="E31" s="57">
        <v>23.46</v>
      </c>
    </row>
    <row r="32" spans="1:5" x14ac:dyDescent="0.25">
      <c r="A32" s="1" t="s">
        <v>82</v>
      </c>
      <c r="B32" s="57">
        <v>-0.27</v>
      </c>
      <c r="C32" s="57">
        <v>3.24</v>
      </c>
      <c r="D32" s="57">
        <v>2.09</v>
      </c>
      <c r="E32" s="57">
        <v>23.01</v>
      </c>
    </row>
    <row r="33" spans="1:5" x14ac:dyDescent="0.25">
      <c r="A33" t="s">
        <v>220</v>
      </c>
      <c r="B33" s="10"/>
      <c r="C33" s="10"/>
      <c r="D33" s="10"/>
      <c r="E33" s="10"/>
    </row>
    <row r="34" spans="1:5" x14ac:dyDescent="0.25">
      <c r="A34" s="1" t="s">
        <v>81</v>
      </c>
      <c r="B34" s="10">
        <v>10189</v>
      </c>
      <c r="C34" s="10">
        <v>10117</v>
      </c>
      <c r="D34" s="10">
        <v>10005</v>
      </c>
      <c r="E34" s="10">
        <v>494</v>
      </c>
    </row>
    <row r="35" spans="1:5" x14ac:dyDescent="0.25">
      <c r="A35" s="1" t="s">
        <v>82</v>
      </c>
      <c r="B35" s="10">
        <v>10189</v>
      </c>
      <c r="C35" s="10">
        <v>10296</v>
      </c>
      <c r="D35" s="10">
        <v>10198</v>
      </c>
      <c r="E35" s="10">
        <v>504</v>
      </c>
    </row>
    <row r="38" spans="1:5" x14ac:dyDescent="0.25">
      <c r="A38" s="25" t="s">
        <v>12</v>
      </c>
      <c r="B38" s="25"/>
      <c r="C38" s="25"/>
      <c r="D38" s="25"/>
    </row>
    <row r="39" spans="1:5" x14ac:dyDescent="0.25">
      <c r="B39" s="24" t="s">
        <v>57</v>
      </c>
      <c r="C39" s="24"/>
      <c r="D39" s="24"/>
    </row>
    <row r="40" spans="1:5" x14ac:dyDescent="0.25">
      <c r="B40" s="9">
        <v>2022</v>
      </c>
      <c r="C40" s="9">
        <v>2021</v>
      </c>
      <c r="D40" s="9">
        <v>2020</v>
      </c>
      <c r="E40" s="26">
        <v>2019</v>
      </c>
    </row>
    <row r="42" spans="1:5" x14ac:dyDescent="0.25">
      <c r="A42" t="s">
        <v>85</v>
      </c>
    </row>
    <row r="43" spans="1:5" x14ac:dyDescent="0.25">
      <c r="A43" s="1" t="s">
        <v>86</v>
      </c>
      <c r="B43" s="10">
        <v>53888</v>
      </c>
      <c r="C43" s="10">
        <v>36220</v>
      </c>
      <c r="D43" s="10">
        <v>42122</v>
      </c>
      <c r="E43" s="61">
        <v>36092</v>
      </c>
    </row>
    <row r="44" spans="1:5" x14ac:dyDescent="0.25">
      <c r="A44" s="1" t="s">
        <v>87</v>
      </c>
      <c r="B44" s="10">
        <v>16138</v>
      </c>
      <c r="C44" s="10">
        <v>59829</v>
      </c>
      <c r="D44" s="10">
        <v>42274</v>
      </c>
      <c r="E44" s="61">
        <v>18929</v>
      </c>
    </row>
    <row r="45" spans="1:5" x14ac:dyDescent="0.25">
      <c r="A45" s="1" t="s">
        <v>89</v>
      </c>
      <c r="B45" s="10">
        <v>34405</v>
      </c>
      <c r="C45" s="10">
        <v>32640</v>
      </c>
      <c r="D45" s="10">
        <v>23795</v>
      </c>
      <c r="E45" s="61">
        <v>20497</v>
      </c>
    </row>
    <row r="46" spans="1:5" x14ac:dyDescent="0.25">
      <c r="A46" s="1" t="s">
        <v>222</v>
      </c>
      <c r="B46" s="10">
        <v>42360</v>
      </c>
      <c r="C46" s="10">
        <v>32891</v>
      </c>
      <c r="D46" s="10">
        <v>24542</v>
      </c>
      <c r="E46" s="61">
        <v>20816</v>
      </c>
    </row>
    <row r="47" spans="1:5" x14ac:dyDescent="0.25">
      <c r="A47" s="11" t="s">
        <v>92</v>
      </c>
      <c r="B47" s="12">
        <f>SUM(B43:B46)</f>
        <v>146791</v>
      </c>
      <c r="C47" s="12">
        <f t="shared" ref="C47:E47" si="8">SUM(C43:C46)</f>
        <v>161580</v>
      </c>
      <c r="D47" s="12">
        <f t="shared" si="8"/>
        <v>132733</v>
      </c>
      <c r="E47" s="62">
        <f t="shared" si="8"/>
        <v>96334</v>
      </c>
    </row>
    <row r="48" spans="1:5" x14ac:dyDescent="0.25">
      <c r="A48" s="58" t="s">
        <v>223</v>
      </c>
      <c r="B48" s="10"/>
      <c r="C48" s="10"/>
      <c r="D48" s="10"/>
      <c r="E48" s="61"/>
    </row>
    <row r="49" spans="1:7" x14ac:dyDescent="0.25">
      <c r="A49" s="1" t="s">
        <v>224</v>
      </c>
      <c r="B49" s="10">
        <v>186715</v>
      </c>
      <c r="C49" s="10">
        <v>160281</v>
      </c>
      <c r="D49" s="10">
        <v>113114</v>
      </c>
      <c r="E49" s="61">
        <v>72705</v>
      </c>
    </row>
    <row r="50" spans="1:7" x14ac:dyDescent="0.25">
      <c r="A50" s="1" t="s">
        <v>225</v>
      </c>
      <c r="B50" s="10">
        <v>66123</v>
      </c>
      <c r="C50" s="10">
        <v>56082</v>
      </c>
      <c r="D50" s="10">
        <v>37553</v>
      </c>
      <c r="E50" s="61">
        <v>25141</v>
      </c>
    </row>
    <row r="51" spans="1:7" x14ac:dyDescent="0.25">
      <c r="A51" s="1" t="s">
        <v>226</v>
      </c>
      <c r="B51" s="10">
        <v>20288</v>
      </c>
      <c r="C51" s="10">
        <v>15371</v>
      </c>
      <c r="D51" s="10">
        <v>15017</v>
      </c>
      <c r="E51" s="61">
        <v>14754</v>
      </c>
    </row>
    <row r="52" spans="1:7" x14ac:dyDescent="0.25">
      <c r="A52" s="1" t="s">
        <v>227</v>
      </c>
      <c r="B52" s="10">
        <v>42758</v>
      </c>
      <c r="C52" s="10">
        <v>27235</v>
      </c>
      <c r="D52" s="10">
        <v>22778</v>
      </c>
      <c r="E52" s="61">
        <v>16314</v>
      </c>
    </row>
    <row r="53" spans="1:7" x14ac:dyDescent="0.25">
      <c r="A53" s="11" t="s">
        <v>96</v>
      </c>
      <c r="B53" s="12">
        <f>SUM(B49:B52)</f>
        <v>315884</v>
      </c>
      <c r="C53" s="12">
        <f t="shared" ref="C53:E53" si="9">SUM(C49:C52)</f>
        <v>258969</v>
      </c>
      <c r="D53" s="12">
        <f t="shared" si="9"/>
        <v>188462</v>
      </c>
      <c r="E53" s="62">
        <f t="shared" si="9"/>
        <v>128914</v>
      </c>
    </row>
    <row r="54" spans="1:7" ht="15.75" thickBot="1" x14ac:dyDescent="0.3">
      <c r="A54" s="13" t="s">
        <v>97</v>
      </c>
      <c r="B54" s="14">
        <f>B47+B53</f>
        <v>462675</v>
      </c>
      <c r="C54" s="14">
        <f t="shared" ref="C54:E54" si="10">C47+C53</f>
        <v>420549</v>
      </c>
      <c r="D54" s="14">
        <f t="shared" si="10"/>
        <v>321195</v>
      </c>
      <c r="E54" s="66">
        <f t="shared" si="10"/>
        <v>225248</v>
      </c>
    </row>
    <row r="55" spans="1:7" ht="15.75" thickTop="1" x14ac:dyDescent="0.25">
      <c r="E55" s="67"/>
    </row>
    <row r="56" spans="1:7" x14ac:dyDescent="0.25">
      <c r="A56" t="s">
        <v>98</v>
      </c>
      <c r="E56" s="67"/>
    </row>
    <row r="57" spans="1:7" x14ac:dyDescent="0.25">
      <c r="A57" s="1" t="s">
        <v>99</v>
      </c>
      <c r="B57" s="10">
        <v>79600</v>
      </c>
      <c r="C57" s="10">
        <v>78664</v>
      </c>
      <c r="D57" s="10">
        <v>72539</v>
      </c>
      <c r="E57" s="61">
        <v>47183</v>
      </c>
    </row>
    <row r="58" spans="1:7" x14ac:dyDescent="0.25">
      <c r="A58" s="1" t="s">
        <v>228</v>
      </c>
      <c r="B58" s="10">
        <v>62566</v>
      </c>
      <c r="C58" s="10">
        <v>51775</v>
      </c>
      <c r="D58" s="10">
        <v>44138</v>
      </c>
      <c r="E58" s="61">
        <v>32439</v>
      </c>
    </row>
    <row r="59" spans="1:7" x14ac:dyDescent="0.25">
      <c r="A59" s="1" t="s">
        <v>229</v>
      </c>
      <c r="B59" s="10">
        <v>13227</v>
      </c>
      <c r="C59" s="10">
        <v>11827</v>
      </c>
      <c r="D59" s="10">
        <v>9708</v>
      </c>
      <c r="E59" s="61">
        <v>8190</v>
      </c>
      <c r="G59" t="s">
        <v>272</v>
      </c>
    </row>
    <row r="60" spans="1:7" x14ac:dyDescent="0.25">
      <c r="A60" s="11" t="s">
        <v>104</v>
      </c>
      <c r="B60" s="12">
        <f>SUM(B57:B59)</f>
        <v>155393</v>
      </c>
      <c r="C60" s="12">
        <f t="shared" ref="C60:E60" si="11">SUM(C57:C59)</f>
        <v>142266</v>
      </c>
      <c r="D60" s="12">
        <f t="shared" si="11"/>
        <v>126385</v>
      </c>
      <c r="E60" s="62">
        <f t="shared" si="11"/>
        <v>87812</v>
      </c>
    </row>
    <row r="61" spans="1:7" x14ac:dyDescent="0.25">
      <c r="A61" s="1" t="s">
        <v>105</v>
      </c>
      <c r="B61" s="10"/>
      <c r="C61" s="10"/>
      <c r="D61" s="10"/>
      <c r="E61" s="61"/>
    </row>
    <row r="62" spans="1:7" x14ac:dyDescent="0.25">
      <c r="A62" s="1" t="s">
        <v>230</v>
      </c>
      <c r="B62" s="10">
        <v>72968</v>
      </c>
      <c r="C62" s="10">
        <v>67651</v>
      </c>
      <c r="D62" s="10">
        <v>52573</v>
      </c>
      <c r="E62" s="61">
        <v>39791</v>
      </c>
    </row>
    <row r="63" spans="1:7" x14ac:dyDescent="0.25">
      <c r="A63" s="1" t="s">
        <v>231</v>
      </c>
      <c r="B63" s="10">
        <v>67150</v>
      </c>
      <c r="C63" s="10">
        <v>48744</v>
      </c>
      <c r="D63" s="10">
        <v>31816</v>
      </c>
      <c r="E63" s="61">
        <v>23414</v>
      </c>
    </row>
    <row r="64" spans="1:7" x14ac:dyDescent="0.25">
      <c r="A64" s="1" t="s">
        <v>232</v>
      </c>
      <c r="B64" s="10">
        <v>21121</v>
      </c>
      <c r="C64" s="10">
        <v>23643</v>
      </c>
      <c r="D64" s="10">
        <v>17017</v>
      </c>
      <c r="E64" s="61">
        <v>12171</v>
      </c>
    </row>
    <row r="65" spans="1:5" x14ac:dyDescent="0.25">
      <c r="A65" s="1" t="s">
        <v>233</v>
      </c>
      <c r="B65" s="10"/>
      <c r="C65" s="10"/>
      <c r="D65" s="10"/>
      <c r="E65" s="61"/>
    </row>
    <row r="66" spans="1:5" x14ac:dyDescent="0.25">
      <c r="A66" s="54" t="s">
        <v>107</v>
      </c>
      <c r="B66" s="55">
        <f>SUM(B62:B65)</f>
        <v>161239</v>
      </c>
      <c r="C66" s="55">
        <f t="shared" ref="C66:E66" si="12">SUM(C62:C65)</f>
        <v>140038</v>
      </c>
      <c r="D66" s="55">
        <f t="shared" si="12"/>
        <v>101406</v>
      </c>
      <c r="E66" s="63">
        <f t="shared" si="12"/>
        <v>75376</v>
      </c>
    </row>
    <row r="67" spans="1:5" x14ac:dyDescent="0.25">
      <c r="A67" s="59" t="s">
        <v>108</v>
      </c>
      <c r="B67" s="60">
        <f>B60+B66</f>
        <v>316632</v>
      </c>
      <c r="C67" s="60">
        <f t="shared" ref="C67:E67" si="13">C60+C66</f>
        <v>282304</v>
      </c>
      <c r="D67" s="60">
        <f t="shared" si="13"/>
        <v>227791</v>
      </c>
      <c r="E67" s="65">
        <f t="shared" si="13"/>
        <v>163188</v>
      </c>
    </row>
    <row r="68" spans="1:5" x14ac:dyDescent="0.25">
      <c r="B68" s="10"/>
      <c r="C68" s="10"/>
      <c r="D68" s="10"/>
      <c r="E68" s="61"/>
    </row>
    <row r="69" spans="1:5" x14ac:dyDescent="0.25">
      <c r="A69" s="58" t="s">
        <v>234</v>
      </c>
      <c r="B69" s="10"/>
      <c r="C69" s="10"/>
      <c r="D69" s="10"/>
      <c r="E69" s="61"/>
    </row>
    <row r="70" spans="1:5" x14ac:dyDescent="0.25">
      <c r="A70" s="1" t="s">
        <v>235</v>
      </c>
      <c r="B70" s="10">
        <v>0</v>
      </c>
      <c r="C70" s="10">
        <v>0</v>
      </c>
      <c r="D70" s="10">
        <v>0</v>
      </c>
      <c r="E70" s="61">
        <v>0</v>
      </c>
    </row>
    <row r="71" spans="1:5" x14ac:dyDescent="0.25">
      <c r="A71" s="1" t="s">
        <v>236</v>
      </c>
      <c r="B71" s="10">
        <v>108</v>
      </c>
      <c r="C71" s="10">
        <v>106</v>
      </c>
      <c r="D71" s="10">
        <v>5</v>
      </c>
      <c r="E71" s="61">
        <v>5</v>
      </c>
    </row>
    <row r="72" spans="1:5" x14ac:dyDescent="0.25">
      <c r="A72" s="1" t="s">
        <v>237</v>
      </c>
      <c r="B72" s="10">
        <v>-7837</v>
      </c>
      <c r="C72" s="10">
        <v>-1837</v>
      </c>
      <c r="D72" s="10">
        <v>-1837</v>
      </c>
      <c r="E72" s="61">
        <v>-1837</v>
      </c>
    </row>
    <row r="73" spans="1:5" x14ac:dyDescent="0.25">
      <c r="A73" s="1" t="s">
        <v>238</v>
      </c>
      <c r="B73" s="10">
        <v>75066</v>
      </c>
      <c r="C73" s="10">
        <v>55437</v>
      </c>
      <c r="D73" s="10">
        <v>42865</v>
      </c>
      <c r="E73" s="61">
        <v>33658</v>
      </c>
    </row>
    <row r="74" spans="1:5" x14ac:dyDescent="0.25">
      <c r="A74" s="1" t="s">
        <v>239</v>
      </c>
      <c r="B74" s="10">
        <v>-4487</v>
      </c>
      <c r="C74" s="10">
        <v>-1376</v>
      </c>
      <c r="D74" s="10">
        <v>-180</v>
      </c>
      <c r="E74" s="61">
        <v>-986</v>
      </c>
    </row>
    <row r="75" spans="1:5" x14ac:dyDescent="0.25">
      <c r="A75" s="1" t="s">
        <v>111</v>
      </c>
      <c r="B75" s="10">
        <v>83193</v>
      </c>
      <c r="C75" s="10">
        <v>85915</v>
      </c>
      <c r="D75" s="10">
        <v>52551</v>
      </c>
      <c r="E75" s="61">
        <v>31220</v>
      </c>
    </row>
    <row r="76" spans="1:5" x14ac:dyDescent="0.25">
      <c r="A76" s="11" t="s">
        <v>240</v>
      </c>
      <c r="B76" s="12">
        <f>SUM(B70:B75)</f>
        <v>146043</v>
      </c>
      <c r="C76" s="12">
        <f t="shared" ref="C76:E76" si="14">SUM(C70:C75)</f>
        <v>138245</v>
      </c>
      <c r="D76" s="12">
        <f t="shared" si="14"/>
        <v>93404</v>
      </c>
      <c r="E76" s="62">
        <f t="shared" si="14"/>
        <v>62060</v>
      </c>
    </row>
    <row r="77" spans="1:5" ht="15.75" thickBot="1" x14ac:dyDescent="0.3">
      <c r="A77" s="13" t="s">
        <v>241</v>
      </c>
      <c r="B77" s="14">
        <f>B67+B76</f>
        <v>462675</v>
      </c>
      <c r="C77" s="14">
        <f t="shared" ref="C77:E77" si="15">C67+C76</f>
        <v>420549</v>
      </c>
      <c r="D77" s="14">
        <f t="shared" si="15"/>
        <v>321195</v>
      </c>
      <c r="E77" s="66">
        <f t="shared" si="15"/>
        <v>225248</v>
      </c>
    </row>
    <row r="78" spans="1:5" ht="15.75" thickTop="1" x14ac:dyDescent="0.25"/>
    <row r="79" spans="1:5" x14ac:dyDescent="0.25">
      <c r="A79" s="25" t="s">
        <v>13</v>
      </c>
      <c r="B79" s="25"/>
      <c r="C79" s="25"/>
      <c r="D79" s="25"/>
    </row>
    <row r="80" spans="1:5" x14ac:dyDescent="0.25">
      <c r="B80" s="24" t="s">
        <v>56</v>
      </c>
      <c r="C80" s="24"/>
      <c r="D80" s="24"/>
    </row>
    <row r="81" spans="1:5" x14ac:dyDescent="0.25">
      <c r="B81" s="9">
        <v>2022</v>
      </c>
      <c r="C81" s="9">
        <v>2021</v>
      </c>
      <c r="D81" s="9">
        <v>2020</v>
      </c>
      <c r="E81" s="26">
        <v>2019</v>
      </c>
    </row>
    <row r="83" spans="1:5" x14ac:dyDescent="0.25">
      <c r="A83" s="9" t="s">
        <v>115</v>
      </c>
      <c r="B83" s="17">
        <v>36477</v>
      </c>
      <c r="C83" s="17">
        <v>42377</v>
      </c>
      <c r="D83" s="17">
        <v>36410</v>
      </c>
      <c r="E83" s="17">
        <v>32173</v>
      </c>
    </row>
    <row r="84" spans="1:5" x14ac:dyDescent="0.25">
      <c r="A84" s="9" t="s">
        <v>242</v>
      </c>
      <c r="B84" s="10"/>
      <c r="C84" s="10"/>
      <c r="D84" s="10"/>
    </row>
    <row r="85" spans="1:5" x14ac:dyDescent="0.25">
      <c r="A85" s="18" t="s">
        <v>221</v>
      </c>
      <c r="B85" s="17">
        <f>B27</f>
        <v>-2722</v>
      </c>
      <c r="C85" s="17">
        <f t="shared" ref="C85:E85" si="16">C27</f>
        <v>33364</v>
      </c>
      <c r="D85" s="17">
        <f t="shared" si="16"/>
        <v>21331</v>
      </c>
      <c r="E85" s="17">
        <f t="shared" si="16"/>
        <v>11588</v>
      </c>
    </row>
    <row r="86" spans="1:5" x14ac:dyDescent="0.25">
      <c r="A86" s="1" t="s">
        <v>244</v>
      </c>
      <c r="B86" s="10"/>
      <c r="C86" s="10"/>
      <c r="D86" s="10"/>
      <c r="E86" s="10"/>
    </row>
    <row r="87" spans="1:5" x14ac:dyDescent="0.25">
      <c r="A87" s="19" t="s">
        <v>243</v>
      </c>
      <c r="B87" s="10">
        <v>41921</v>
      </c>
      <c r="C87" s="10">
        <v>34433</v>
      </c>
      <c r="D87" s="10">
        <v>25180</v>
      </c>
      <c r="E87" s="10">
        <v>21789</v>
      </c>
    </row>
    <row r="88" spans="1:5" x14ac:dyDescent="0.25">
      <c r="A88" s="19" t="s">
        <v>245</v>
      </c>
      <c r="B88" s="10">
        <v>19621</v>
      </c>
      <c r="C88" s="10">
        <v>12757</v>
      </c>
      <c r="D88" s="10">
        <v>9208</v>
      </c>
      <c r="E88" s="10">
        <v>6864</v>
      </c>
    </row>
    <row r="89" spans="1:5" x14ac:dyDescent="0.25">
      <c r="A89" s="19" t="s">
        <v>246</v>
      </c>
      <c r="B89" s="10">
        <v>16966</v>
      </c>
      <c r="C89" s="10">
        <v>-14306</v>
      </c>
      <c r="D89" s="10">
        <v>-2582</v>
      </c>
      <c r="E89" s="10">
        <f>164-249</f>
        <v>-85</v>
      </c>
    </row>
    <row r="90" spans="1:5" x14ac:dyDescent="0.25">
      <c r="A90" s="69" t="s">
        <v>247</v>
      </c>
      <c r="B90" s="10">
        <v>-8148</v>
      </c>
      <c r="C90" s="10">
        <v>-310</v>
      </c>
      <c r="D90" s="10">
        <v>-554</v>
      </c>
      <c r="E90" s="10">
        <v>796</v>
      </c>
    </row>
    <row r="91" spans="1:5" x14ac:dyDescent="0.25">
      <c r="A91" s="58" t="s">
        <v>132</v>
      </c>
      <c r="E91" s="10"/>
    </row>
    <row r="92" spans="1:5" x14ac:dyDescent="0.25">
      <c r="A92" s="1" t="s">
        <v>89</v>
      </c>
      <c r="B92" s="10">
        <v>-2592</v>
      </c>
      <c r="C92" s="10">
        <v>-9487</v>
      </c>
      <c r="D92" s="10">
        <v>-2849</v>
      </c>
      <c r="E92" s="10">
        <v>-3278</v>
      </c>
    </row>
    <row r="93" spans="1:5" x14ac:dyDescent="0.25">
      <c r="A93" s="1" t="s">
        <v>222</v>
      </c>
      <c r="B93" s="10">
        <v>-21897</v>
      </c>
      <c r="C93" s="10">
        <v>-18163</v>
      </c>
      <c r="D93" s="10">
        <v>-8169</v>
      </c>
      <c r="E93" s="10">
        <v>-7681</v>
      </c>
    </row>
    <row r="94" spans="1:5" x14ac:dyDescent="0.25">
      <c r="A94" s="1" t="s">
        <v>99</v>
      </c>
      <c r="B94" s="10">
        <v>2945</v>
      </c>
      <c r="C94" s="10">
        <v>3602</v>
      </c>
      <c r="D94" s="10">
        <v>17480</v>
      </c>
      <c r="E94" s="10">
        <v>8193</v>
      </c>
    </row>
    <row r="95" spans="1:5" x14ac:dyDescent="0.25">
      <c r="A95" s="1" t="s">
        <v>228</v>
      </c>
      <c r="B95" s="10">
        <v>-1558</v>
      </c>
      <c r="C95" s="10">
        <v>2123</v>
      </c>
      <c r="D95" s="10">
        <v>5754</v>
      </c>
      <c r="E95" s="10">
        <v>-1383</v>
      </c>
    </row>
    <row r="96" spans="1:5" x14ac:dyDescent="0.25">
      <c r="A96" s="1" t="s">
        <v>229</v>
      </c>
      <c r="B96" s="10">
        <v>2216</v>
      </c>
      <c r="C96" s="10">
        <v>2314</v>
      </c>
      <c r="D96" s="10">
        <v>1265</v>
      </c>
      <c r="E96" s="10">
        <v>1711</v>
      </c>
    </row>
    <row r="97" spans="1:5" x14ac:dyDescent="0.25">
      <c r="A97" s="11" t="s">
        <v>248</v>
      </c>
      <c r="B97" s="12">
        <f>SUM(B85:B96)</f>
        <v>46752</v>
      </c>
      <c r="C97" s="12">
        <f t="shared" ref="C97:E97" si="17">SUM(C85:C96)</f>
        <v>46327</v>
      </c>
      <c r="D97" s="12">
        <f t="shared" si="17"/>
        <v>66064</v>
      </c>
      <c r="E97" s="12">
        <f t="shared" si="17"/>
        <v>38514</v>
      </c>
    </row>
    <row r="98" spans="1:5" x14ac:dyDescent="0.25">
      <c r="A98" s="9" t="s">
        <v>142</v>
      </c>
      <c r="B98" s="10"/>
      <c r="C98" s="10"/>
      <c r="D98" s="10"/>
      <c r="E98" s="10"/>
    </row>
    <row r="99" spans="1:5" x14ac:dyDescent="0.25">
      <c r="A99" s="1" t="s">
        <v>249</v>
      </c>
      <c r="B99" s="10">
        <v>-63645</v>
      </c>
      <c r="C99" s="10">
        <v>-61053</v>
      </c>
      <c r="D99" s="10">
        <v>-40140</v>
      </c>
      <c r="E99" s="10">
        <v>-16861</v>
      </c>
    </row>
    <row r="100" spans="1:5" x14ac:dyDescent="0.25">
      <c r="A100" s="1" t="s">
        <v>250</v>
      </c>
      <c r="B100" s="10">
        <v>5324</v>
      </c>
      <c r="C100" s="10">
        <v>5657</v>
      </c>
      <c r="D100" s="10">
        <v>5096</v>
      </c>
      <c r="E100" s="10">
        <v>4172</v>
      </c>
    </row>
    <row r="101" spans="1:5" x14ac:dyDescent="0.25">
      <c r="A101" s="1" t="s">
        <v>251</v>
      </c>
      <c r="B101" s="10">
        <v>-8316</v>
      </c>
      <c r="C101" s="10">
        <v>-1985</v>
      </c>
      <c r="D101" s="10">
        <v>-2325</v>
      </c>
      <c r="E101" s="10">
        <v>-2461</v>
      </c>
    </row>
    <row r="102" spans="1:5" x14ac:dyDescent="0.25">
      <c r="A102" s="1" t="s">
        <v>252</v>
      </c>
      <c r="B102" s="10">
        <v>31601</v>
      </c>
      <c r="C102" s="10">
        <v>59384</v>
      </c>
      <c r="D102" s="10">
        <v>50237</v>
      </c>
      <c r="E102" s="10">
        <v>22681</v>
      </c>
    </row>
    <row r="103" spans="1:5" x14ac:dyDescent="0.25">
      <c r="A103" s="1" t="s">
        <v>143</v>
      </c>
      <c r="B103" s="10">
        <v>-2565</v>
      </c>
      <c r="C103" s="10">
        <v>-60157</v>
      </c>
      <c r="D103" s="10">
        <v>-72479</v>
      </c>
      <c r="E103" s="10">
        <v>-31812</v>
      </c>
    </row>
    <row r="104" spans="1:5" x14ac:dyDescent="0.25">
      <c r="A104" s="11" t="s">
        <v>150</v>
      </c>
      <c r="B104" s="12">
        <f>SUM(B99:B103)</f>
        <v>-37601</v>
      </c>
      <c r="C104" s="12">
        <f t="shared" ref="C104:E104" si="18">SUM(C99:C103)</f>
        <v>-58154</v>
      </c>
      <c r="D104" s="12">
        <f t="shared" si="18"/>
        <v>-59611</v>
      </c>
      <c r="E104" s="12">
        <f t="shared" si="18"/>
        <v>-24281</v>
      </c>
    </row>
    <row r="105" spans="1:5" x14ac:dyDescent="0.25">
      <c r="A105" s="9" t="s">
        <v>152</v>
      </c>
      <c r="B105" s="10"/>
      <c r="C105" s="10"/>
      <c r="D105" s="10"/>
      <c r="E105" s="10"/>
    </row>
    <row r="106" spans="1:5" x14ac:dyDescent="0.25">
      <c r="A106" s="1" t="s">
        <v>253</v>
      </c>
      <c r="B106" s="10">
        <v>-6000</v>
      </c>
      <c r="C106" s="10">
        <v>0</v>
      </c>
      <c r="D106" s="10">
        <v>0</v>
      </c>
      <c r="E106" s="10">
        <v>0</v>
      </c>
    </row>
    <row r="107" spans="1:5" x14ac:dyDescent="0.25">
      <c r="A107" s="1" t="s">
        <v>254</v>
      </c>
      <c r="B107" s="10">
        <v>41553</v>
      </c>
      <c r="C107" s="10">
        <v>7956</v>
      </c>
      <c r="D107" s="10">
        <v>6796</v>
      </c>
      <c r="E107" s="10">
        <v>1402</v>
      </c>
    </row>
    <row r="108" spans="1:5" x14ac:dyDescent="0.25">
      <c r="A108" s="1" t="s">
        <v>255</v>
      </c>
      <c r="B108" s="10">
        <v>-37554</v>
      </c>
      <c r="C108" s="10">
        <v>-7753</v>
      </c>
      <c r="D108" s="10">
        <v>-6177</v>
      </c>
      <c r="E108" s="10">
        <v>-1518</v>
      </c>
    </row>
    <row r="109" spans="1:5" x14ac:dyDescent="0.25">
      <c r="A109" s="1" t="s">
        <v>256</v>
      </c>
      <c r="B109" s="10">
        <v>21166</v>
      </c>
      <c r="C109" s="10">
        <v>19003</v>
      </c>
      <c r="D109" s="10">
        <v>10525</v>
      </c>
      <c r="E109" s="10">
        <v>871</v>
      </c>
    </row>
    <row r="110" spans="1:5" x14ac:dyDescent="0.25">
      <c r="A110" s="1" t="s">
        <v>257</v>
      </c>
      <c r="B110" s="10">
        <v>-1258</v>
      </c>
      <c r="C110" s="10">
        <v>-1590</v>
      </c>
      <c r="D110" s="10">
        <v>-1553</v>
      </c>
      <c r="E110" s="10">
        <v>-1166</v>
      </c>
    </row>
    <row r="111" spans="1:5" x14ac:dyDescent="0.25">
      <c r="A111" s="1" t="s">
        <v>258</v>
      </c>
      <c r="B111" s="10">
        <v>-7941</v>
      </c>
      <c r="C111" s="10">
        <v>-11163</v>
      </c>
      <c r="D111" s="10">
        <v>-10642</v>
      </c>
      <c r="E111" s="10">
        <v>-9628</v>
      </c>
    </row>
    <row r="112" spans="1:5" x14ac:dyDescent="0.25">
      <c r="A112" s="1" t="s">
        <v>259</v>
      </c>
      <c r="B112" s="10">
        <v>-248</v>
      </c>
      <c r="C112" s="10">
        <v>-162</v>
      </c>
      <c r="D112" s="10">
        <v>-53</v>
      </c>
      <c r="E112" s="10">
        <v>-27</v>
      </c>
    </row>
    <row r="113" spans="1:5" x14ac:dyDescent="0.25">
      <c r="A113" s="11" t="s">
        <v>159</v>
      </c>
      <c r="B113" s="12">
        <f>SUM(B106:B112)</f>
        <v>9718</v>
      </c>
      <c r="C113" s="12">
        <f t="shared" ref="C113:E113" si="19">SUM(C106:C112)</f>
        <v>6291</v>
      </c>
      <c r="D113" s="12">
        <f t="shared" si="19"/>
        <v>-1104</v>
      </c>
      <c r="E113" s="12">
        <f t="shared" si="19"/>
        <v>-10066</v>
      </c>
    </row>
    <row r="114" spans="1:5" x14ac:dyDescent="0.25">
      <c r="A114" s="53" t="s">
        <v>260</v>
      </c>
      <c r="B114" s="52">
        <v>-1093</v>
      </c>
      <c r="C114" s="52">
        <v>-364</v>
      </c>
      <c r="D114" s="52">
        <v>618</v>
      </c>
      <c r="E114" s="52">
        <v>70</v>
      </c>
    </row>
    <row r="115" spans="1:5" x14ac:dyDescent="0.25">
      <c r="A115" s="54" t="s">
        <v>261</v>
      </c>
      <c r="B115" s="55">
        <f>B97+B104+B113+B114</f>
        <v>17776</v>
      </c>
      <c r="C115" s="55">
        <f t="shared" ref="C115:E115" si="20">C97+C104+C113+C114</f>
        <v>-5900</v>
      </c>
      <c r="D115" s="55">
        <f t="shared" si="20"/>
        <v>5967</v>
      </c>
      <c r="E115" s="55">
        <f t="shared" si="20"/>
        <v>4237</v>
      </c>
    </row>
    <row r="116" spans="1:5" ht="15.75" thickBot="1" x14ac:dyDescent="0.3">
      <c r="A116" s="13" t="s">
        <v>161</v>
      </c>
      <c r="B116" s="14">
        <f>B83+B115</f>
        <v>54253</v>
      </c>
      <c r="C116" s="14">
        <f t="shared" ref="C116:E116" si="21">C83+C115</f>
        <v>36477</v>
      </c>
      <c r="D116" s="14">
        <f t="shared" si="21"/>
        <v>42377</v>
      </c>
      <c r="E116" s="14">
        <f t="shared" si="21"/>
        <v>36410</v>
      </c>
    </row>
    <row r="117" spans="1:5" ht="15.75" thickTop="1" x14ac:dyDescent="0.25">
      <c r="B117" s="10"/>
      <c r="C117" s="10"/>
      <c r="D117" s="10"/>
    </row>
    <row r="118" spans="1:5" x14ac:dyDescent="0.25">
      <c r="A118" s="49" t="s">
        <v>266</v>
      </c>
      <c r="B118" s="10"/>
      <c r="C118" s="10"/>
      <c r="D118" s="10"/>
    </row>
    <row r="119" spans="1:5" x14ac:dyDescent="0.25">
      <c r="A119" s="50" t="s">
        <v>263</v>
      </c>
      <c r="B119" s="10">
        <v>1561</v>
      </c>
      <c r="C119" s="10">
        <v>1098</v>
      </c>
      <c r="D119" s="10">
        <v>916</v>
      </c>
    </row>
    <row r="120" spans="1:5" x14ac:dyDescent="0.25">
      <c r="A120" s="50" t="s">
        <v>264</v>
      </c>
      <c r="B120" s="10">
        <v>8633</v>
      </c>
      <c r="C120" s="10">
        <v>6722</v>
      </c>
      <c r="D120" s="10">
        <v>4475</v>
      </c>
    </row>
    <row r="121" spans="1:5" x14ac:dyDescent="0.25">
      <c r="A121" s="50" t="s">
        <v>265</v>
      </c>
      <c r="B121">
        <v>374</v>
      </c>
      <c r="C121">
        <v>521</v>
      </c>
      <c r="D121">
        <v>612</v>
      </c>
    </row>
    <row r="122" spans="1:5" x14ac:dyDescent="0.25">
      <c r="A122" s="68" t="s">
        <v>273</v>
      </c>
      <c r="B122" s="10">
        <v>6035</v>
      </c>
      <c r="C122" s="10">
        <v>3688</v>
      </c>
      <c r="D122" s="10">
        <v>1713</v>
      </c>
    </row>
    <row r="123" spans="1:5" x14ac:dyDescent="0.25">
      <c r="B123" s="44"/>
      <c r="C123" s="44"/>
      <c r="D123" s="44"/>
    </row>
    <row r="125" spans="1:5" x14ac:dyDescent="0.25">
      <c r="A125" t="s">
        <v>274</v>
      </c>
      <c r="B125">
        <v>162.85</v>
      </c>
      <c r="C125">
        <v>166.72</v>
      </c>
      <c r="D125">
        <v>84</v>
      </c>
    </row>
    <row r="126" spans="1:5" x14ac:dyDescent="0.25">
      <c r="A126" t="s">
        <v>276</v>
      </c>
      <c r="B126" s="35">
        <f t="shared" ref="B126:C126" si="22">B35</f>
        <v>10189</v>
      </c>
      <c r="C126" s="35">
        <f t="shared" si="22"/>
        <v>10296</v>
      </c>
      <c r="D126" s="35">
        <f>D35</f>
        <v>10198</v>
      </c>
    </row>
    <row r="127" spans="1:5" x14ac:dyDescent="0.25">
      <c r="A127" t="s">
        <v>275</v>
      </c>
      <c r="B127">
        <f>B125*B126</f>
        <v>1659278.65</v>
      </c>
      <c r="C127">
        <f t="shared" ref="C127:D127" si="23">C125*C126</f>
        <v>1716549.1199999999</v>
      </c>
      <c r="D127">
        <f t="shared" si="23"/>
        <v>856632</v>
      </c>
    </row>
  </sheetData>
  <mergeCells count="6">
    <mergeCell ref="B80:D80"/>
    <mergeCell ref="A2:D2"/>
    <mergeCell ref="B3:D3"/>
    <mergeCell ref="A38:D38"/>
    <mergeCell ref="B39:D39"/>
    <mergeCell ref="A79:D7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5"/>
  <sheetViews>
    <sheetView tabSelected="1" workbookViewId="0">
      <selection activeCell="C21" sqref="C21"/>
    </sheetView>
  </sheetViews>
  <sheetFormatPr defaultRowHeight="15" x14ac:dyDescent="0.25"/>
  <cols>
    <col min="1" max="1" width="4.7109375" style="75" customWidth="1"/>
    <col min="2" max="2" width="44.85546875" style="75" customWidth="1"/>
    <col min="3" max="4" width="14.140625" style="75" bestFit="1" customWidth="1"/>
    <col min="5" max="5" width="13.42578125" style="75" bestFit="1" customWidth="1"/>
    <col min="6" max="14" width="9.140625" style="75"/>
    <col min="15" max="15" width="16.28515625" style="75" customWidth="1"/>
    <col min="16" max="16" width="16" style="75" customWidth="1"/>
    <col min="17" max="17" width="15.7109375" style="75" customWidth="1"/>
    <col min="18" max="16384" width="9.140625" style="75"/>
  </cols>
  <sheetData>
    <row r="1" spans="1:17" ht="60" customHeight="1" x14ac:dyDescent="0.4">
      <c r="A1" s="72"/>
      <c r="B1" s="73" t="s">
        <v>277</v>
      </c>
      <c r="C1" s="74"/>
      <c r="D1" s="74"/>
      <c r="E1" s="74"/>
      <c r="F1" s="74"/>
      <c r="G1" s="74"/>
      <c r="H1" s="74"/>
      <c r="I1" s="74"/>
      <c r="J1" s="74"/>
    </row>
    <row r="2" spans="1:17" x14ac:dyDescent="0.25">
      <c r="C2" s="76" t="s">
        <v>58</v>
      </c>
      <c r="D2" s="76"/>
      <c r="E2" s="76"/>
    </row>
    <row r="3" spans="1:17" ht="45" x14ac:dyDescent="0.25">
      <c r="C3" s="77">
        <v>2022</v>
      </c>
      <c r="D3" s="77">
        <v>2021</v>
      </c>
      <c r="E3" s="77">
        <v>2020</v>
      </c>
      <c r="G3" s="78" t="s">
        <v>168</v>
      </c>
      <c r="O3" s="79" t="s">
        <v>279</v>
      </c>
      <c r="P3" s="79" t="s">
        <v>280</v>
      </c>
      <c r="Q3" s="79" t="s">
        <v>281</v>
      </c>
    </row>
    <row r="4" spans="1:17" x14ac:dyDescent="0.25">
      <c r="A4" s="80">
        <v>1</v>
      </c>
      <c r="B4" s="77" t="s">
        <v>14</v>
      </c>
      <c r="O4" s="81"/>
    </row>
    <row r="5" spans="1:17" x14ac:dyDescent="0.25">
      <c r="A5" s="80">
        <f>+A4+0.1</f>
        <v>1.1000000000000001</v>
      </c>
      <c r="B5" s="82" t="s">
        <v>15</v>
      </c>
      <c r="C5" s="83">
        <f>'Financial Statements'!B47/'Financial Statements'!B60</f>
        <v>0.9446435811136924</v>
      </c>
      <c r="D5" s="83">
        <f>'Financial Statements'!C47/'Financial Statements'!C60</f>
        <v>1.1357597739445826</v>
      </c>
      <c r="E5" s="83">
        <f>'Financial Statements'!D47/'Financial Statements'!D60</f>
        <v>1.0502274795268425</v>
      </c>
      <c r="G5" s="75" t="s">
        <v>169</v>
      </c>
      <c r="O5" s="84">
        <f>(C5-E5)/E5</f>
        <v>-0.10053431325251425</v>
      </c>
      <c r="P5" s="84">
        <f>(C5-D5)/D5</f>
        <v>-0.16827166907587218</v>
      </c>
      <c r="Q5" s="84">
        <f>(D5-E5)/E5</f>
        <v>8.1441683906685505E-2</v>
      </c>
    </row>
    <row r="6" spans="1:17" x14ac:dyDescent="0.25">
      <c r="A6" s="80">
        <f t="shared" ref="A6:A13" si="0">+A5+0.1</f>
        <v>1.2000000000000002</v>
      </c>
      <c r="B6" s="82" t="s">
        <v>16</v>
      </c>
      <c r="C6" s="83">
        <f>('Financial Statements'!B47-'Financial Statements'!B45)/'Financial Statements'!B60</f>
        <v>0.72323721145740161</v>
      </c>
      <c r="D6" s="83">
        <f>('Financial Statements'!C47-'Financial Statements'!C45)/'Financial Statements'!C60</f>
        <v>0.90633039517523517</v>
      </c>
      <c r="E6" s="83">
        <f>('Financial Statements'!D47-'Financial Statements'!D45)/'Financial Statements'!D60</f>
        <v>0.86195355461486722</v>
      </c>
      <c r="G6" s="75" t="s">
        <v>169</v>
      </c>
      <c r="O6" s="84">
        <f t="shared" ref="O6:O69" si="1">(C6-E6)/E6</f>
        <v>-0.16093250316653779</v>
      </c>
      <c r="P6" s="84">
        <f t="shared" ref="P6:P69" si="2">(C6-D6)/D6</f>
        <v>-0.20201593667443235</v>
      </c>
      <c r="Q6" s="84">
        <f t="shared" ref="Q6:Q69" si="3">(D6-E6)/E6</f>
        <v>5.1484027558997808E-2</v>
      </c>
    </row>
    <row r="7" spans="1:17" x14ac:dyDescent="0.25">
      <c r="A7" s="80">
        <f t="shared" si="0"/>
        <v>1.3000000000000003</v>
      </c>
      <c r="B7" s="82" t="s">
        <v>17</v>
      </c>
      <c r="C7" s="83">
        <f>'Financial Statements'!B43/'Financial Statements'!B60</f>
        <v>0.34678524772673158</v>
      </c>
      <c r="D7" s="83">
        <f>'Financial Statements'!C43/'Financial Statements'!C60</f>
        <v>0.25459350793583851</v>
      </c>
      <c r="E7" s="83">
        <f>'Financial Statements'!D43/'Financial Statements'!D60</f>
        <v>0.33328322190133325</v>
      </c>
      <c r="G7" s="75" t="s">
        <v>169</v>
      </c>
      <c r="O7" s="84">
        <f t="shared" si="1"/>
        <v>4.0512167844427335E-2</v>
      </c>
      <c r="P7" s="84">
        <f t="shared" si="2"/>
        <v>0.36211347468501359</v>
      </c>
      <c r="Q7" s="84">
        <f t="shared" si="3"/>
        <v>-0.23610463652079794</v>
      </c>
    </row>
    <row r="8" spans="1:17" x14ac:dyDescent="0.25">
      <c r="A8" s="80">
        <f t="shared" si="0"/>
        <v>1.4000000000000004</v>
      </c>
      <c r="B8" s="82" t="s">
        <v>18</v>
      </c>
      <c r="C8" s="85">
        <f>('Financial Statements'!B43+'Financial Statements'!B44+'Financial Statements'!B46)/(('Financial Statements'!B18-('Financial Statements'!B87+'Financial Statements'!B88+'Financial Statements'!B89+'Financial Statements'!B90))/365)</f>
        <v>287.77703726568637</v>
      </c>
      <c r="D8" s="85">
        <f>('Financial Statements'!C43+'Financial Statements'!C44+'Financial Statements'!C46)/(('Financial Statements'!C18-('Financial Statements'!C87+'Financial Statements'!C88+'Financial Statements'!C89+'Financial Statements'!C90))/365)</f>
        <v>336.10498125334766</v>
      </c>
      <c r="E8" s="85">
        <f>('Financial Statements'!D43+'Financial Statements'!D44+'Financial Statements'!D46)/(('Financial Statements'!D18-('Financial Statements'!D87+'Financial Statements'!D88+'Financial Statements'!D89+'Financial Statements'!D90))/365)</f>
        <v>403.24493438533153</v>
      </c>
      <c r="G8" s="75" t="s">
        <v>173</v>
      </c>
      <c r="O8" s="84">
        <f t="shared" si="1"/>
        <v>-0.28634680134458107</v>
      </c>
      <c r="P8" s="84">
        <f t="shared" si="2"/>
        <v>-0.14378824082715058</v>
      </c>
      <c r="Q8" s="84">
        <f t="shared" si="3"/>
        <v>-0.16649918549956658</v>
      </c>
    </row>
    <row r="9" spans="1:17" x14ac:dyDescent="0.25">
      <c r="A9" s="80">
        <f t="shared" si="0"/>
        <v>1.5000000000000004</v>
      </c>
      <c r="B9" s="82" t="s">
        <v>19</v>
      </c>
      <c r="C9" s="85">
        <f>((('Financial Statements'!B45+'Financial Statements'!C45)/2)/'Financial Statements'!B10)*365</f>
        <v>42.362878292150086</v>
      </c>
      <c r="D9" s="85">
        <f>((('Financial Statements'!C45+'Financial Statements'!D45)/2)/'Financial Statements'!C10)*365</f>
        <v>37.817567120994035</v>
      </c>
      <c r="E9" s="85">
        <f>((('Financial Statements'!D45+'Financial Statements'!E45)/2)/'Financial Statements'!D10)*365</f>
        <v>34.646581542774115</v>
      </c>
      <c r="G9" s="75" t="s">
        <v>173</v>
      </c>
      <c r="O9" s="84">
        <f t="shared" si="1"/>
        <v>0.22271451917556584</v>
      </c>
      <c r="P9" s="84">
        <f t="shared" si="2"/>
        <v>0.12019047012235666</v>
      </c>
      <c r="Q9" s="84">
        <f t="shared" si="3"/>
        <v>9.1523764741553854E-2</v>
      </c>
    </row>
    <row r="10" spans="1:17" x14ac:dyDescent="0.25">
      <c r="A10" s="80">
        <f t="shared" si="0"/>
        <v>1.6000000000000005</v>
      </c>
      <c r="B10" s="82" t="s">
        <v>20</v>
      </c>
      <c r="C10" s="85">
        <f>((('Financial Statements'!B57+'Financial Statements'!C57)/2)/'Financial Statements'!B10)*365</f>
        <v>100.00027697857917</v>
      </c>
      <c r="D10" s="85">
        <f>((('Financial Statements'!C57+'Financial Statements'!D57)/2)/'Financial Statements'!C10)*365</f>
        <v>101.32239924507242</v>
      </c>
      <c r="E10" s="85">
        <f>((('Financial Statements'!D57+'Financial Statements'!E57)/2)/'Financial Statements'!D10)*365</f>
        <v>93.650276245461995</v>
      </c>
      <c r="G10" s="75" t="s">
        <v>173</v>
      </c>
      <c r="O10" s="84">
        <f t="shared" si="1"/>
        <v>6.7805467188089275E-2</v>
      </c>
      <c r="P10" s="84">
        <f t="shared" si="2"/>
        <v>-1.3048667188539271E-2</v>
      </c>
      <c r="Q10" s="84">
        <f t="shared" si="3"/>
        <v>8.192312192973579E-2</v>
      </c>
    </row>
    <row r="11" spans="1:17" x14ac:dyDescent="0.25">
      <c r="A11" s="80">
        <f t="shared" si="0"/>
        <v>1.7000000000000006</v>
      </c>
      <c r="B11" s="82" t="s">
        <v>21</v>
      </c>
      <c r="C11" s="85">
        <f>((('Financial Statements'!B46+'Financial Statements'!C46)/2)/'Financial Statements'!B8)*365</f>
        <v>26.719380796641133</v>
      </c>
      <c r="D11" s="85">
        <f>((('Financial Statements'!C46+'Financial Statements'!D46)/2)/'Financial Statements'!C8)*365</f>
        <v>22.30956085496209</v>
      </c>
      <c r="E11" s="85">
        <f>((('Financial Statements'!D46+'Financial Statements'!E46)/2)/'Financial Statements'!D8)*365</f>
        <v>21.441613307638111</v>
      </c>
      <c r="G11" s="75" t="s">
        <v>173</v>
      </c>
      <c r="O11" s="84">
        <f t="shared" si="1"/>
        <v>0.24614600651915178</v>
      </c>
      <c r="P11" s="84">
        <f t="shared" si="2"/>
        <v>0.19766502668286326</v>
      </c>
      <c r="Q11" s="84">
        <f t="shared" si="3"/>
        <v>4.04795821504155E-2</v>
      </c>
    </row>
    <row r="12" spans="1:17" x14ac:dyDescent="0.25">
      <c r="A12" s="80">
        <f t="shared" si="0"/>
        <v>1.8000000000000007</v>
      </c>
      <c r="B12" s="82" t="s">
        <v>22</v>
      </c>
      <c r="C12" s="85">
        <f t="shared" ref="C12:D12" si="4">C9+C11-C10</f>
        <v>-30.918017889787947</v>
      </c>
      <c r="D12" s="85">
        <f t="shared" si="4"/>
        <v>-41.19527126911629</v>
      </c>
      <c r="E12" s="85">
        <f>E9+E11-E10</f>
        <v>-37.562081395049773</v>
      </c>
      <c r="G12" s="75" t="s">
        <v>173</v>
      </c>
      <c r="O12" s="84">
        <f t="shared" si="1"/>
        <v>-0.17688219764460211</v>
      </c>
      <c r="P12" s="84">
        <f t="shared" si="2"/>
        <v>-0.24947653123073626</v>
      </c>
      <c r="Q12" s="84">
        <f t="shared" si="3"/>
        <v>9.6724934804739732E-2</v>
      </c>
    </row>
    <row r="13" spans="1:17" x14ac:dyDescent="0.25">
      <c r="A13" s="80">
        <f t="shared" si="0"/>
        <v>1.9000000000000008</v>
      </c>
      <c r="B13" s="82" t="s">
        <v>23</v>
      </c>
      <c r="C13" s="84">
        <f>C14/'Financial Statements'!B8</f>
        <v>-1.6735962084349094E-2</v>
      </c>
      <c r="D13" s="84">
        <f>D14/'Financial Statements'!C8</f>
        <v>4.1109186032156859E-2</v>
      </c>
      <c r="E13" s="84">
        <f>E14/'Financial Statements'!D8</f>
        <v>1.6442869576028845E-2</v>
      </c>
      <c r="G13" s="75" t="s">
        <v>169</v>
      </c>
      <c r="O13" s="84">
        <f t="shared" si="1"/>
        <v>-2.0178249001468411</v>
      </c>
      <c r="P13" s="84">
        <f t="shared" si="2"/>
        <v>-1.4071100330533841</v>
      </c>
      <c r="Q13" s="84">
        <f t="shared" si="3"/>
        <v>1.5001223686702279</v>
      </c>
    </row>
    <row r="14" spans="1:17" x14ac:dyDescent="0.25">
      <c r="A14" s="80"/>
      <c r="B14" s="86" t="s">
        <v>24</v>
      </c>
      <c r="C14" s="75">
        <f>'Financial Statements'!B47-'Financial Statements'!B60</f>
        <v>-8602</v>
      </c>
      <c r="D14" s="75">
        <f>'Financial Statements'!C47-'Financial Statements'!C60</f>
        <v>19314</v>
      </c>
      <c r="E14" s="75">
        <f>'Financial Statements'!D47-'Financial Statements'!D60</f>
        <v>6348</v>
      </c>
      <c r="G14" s="75" t="s">
        <v>184</v>
      </c>
      <c r="O14" s="84">
        <f t="shared" si="1"/>
        <v>-2.3550724637681157</v>
      </c>
      <c r="P14" s="84">
        <f t="shared" si="2"/>
        <v>-1.4453764108936522</v>
      </c>
      <c r="Q14" s="84">
        <f t="shared" si="3"/>
        <v>2.0425330812854443</v>
      </c>
    </row>
    <row r="15" spans="1:17" x14ac:dyDescent="0.25">
      <c r="A15" s="80"/>
      <c r="O15" s="84"/>
      <c r="P15" s="84"/>
      <c r="Q15" s="84"/>
    </row>
    <row r="16" spans="1:17" x14ac:dyDescent="0.25">
      <c r="A16" s="80">
        <f>+A4+1</f>
        <v>2</v>
      </c>
      <c r="B16" s="87" t="s">
        <v>25</v>
      </c>
      <c r="O16" s="84"/>
      <c r="P16" s="84"/>
      <c r="Q16" s="84"/>
    </row>
    <row r="17" spans="1:17" x14ac:dyDescent="0.25">
      <c r="A17" s="80">
        <f>+A16+0.1</f>
        <v>2.1</v>
      </c>
      <c r="B17" s="82" t="s">
        <v>11</v>
      </c>
      <c r="C17" s="84">
        <f>'Financial Statements'!B11/'Financial Statements'!B8</f>
        <v>0.43805339865326287</v>
      </c>
      <c r="D17" s="84">
        <f>'Financial Statements'!C11/'Financial Statements'!C8</f>
        <v>0.42032514441639601</v>
      </c>
      <c r="E17" s="84">
        <f>'Financial Statements'!D11/'Financial Statements'!D8</f>
        <v>0.3956779186870571</v>
      </c>
      <c r="G17" s="75" t="s">
        <v>169</v>
      </c>
      <c r="O17" s="84">
        <f t="shared" si="1"/>
        <v>0.10709589280801053</v>
      </c>
      <c r="P17" s="84">
        <f t="shared" si="2"/>
        <v>4.2177477299108056E-2</v>
      </c>
      <c r="Q17" s="84">
        <f t="shared" si="3"/>
        <v>6.2291132674584464E-2</v>
      </c>
    </row>
    <row r="18" spans="1:17" x14ac:dyDescent="0.25">
      <c r="A18" s="80">
        <f>+A17+0.1</f>
        <v>2.2000000000000002</v>
      </c>
      <c r="B18" s="82" t="s">
        <v>26</v>
      </c>
      <c r="C18" s="84">
        <f>C19/'Financial Statements'!B8</f>
        <v>7.2687228955043259E-2</v>
      </c>
      <c r="D18" s="84">
        <f>D19/'Financial Statements'!C8</f>
        <v>0.15739790814393537</v>
      </c>
      <c r="E18" s="84">
        <f>E19/'Financial Statements'!D8</f>
        <v>0.13071925898296655</v>
      </c>
      <c r="G18" s="75" t="s">
        <v>169</v>
      </c>
      <c r="O18" s="84">
        <f t="shared" si="1"/>
        <v>-0.44394399478262941</v>
      </c>
      <c r="P18" s="84">
        <f t="shared" si="2"/>
        <v>-0.53819444100506653</v>
      </c>
      <c r="Q18" s="84">
        <f t="shared" si="3"/>
        <v>0.20409119030000927</v>
      </c>
    </row>
    <row r="19" spans="1:17" x14ac:dyDescent="0.25">
      <c r="A19" s="80"/>
      <c r="B19" s="86" t="s">
        <v>27</v>
      </c>
      <c r="C19" s="75">
        <f>C21+'Financial Statements'!B87</f>
        <v>37360</v>
      </c>
      <c r="D19" s="75">
        <f>D21+'Financial Statements'!C87</f>
        <v>73949</v>
      </c>
      <c r="E19" s="75">
        <f>E21+'Financial Statements'!D87</f>
        <v>50466</v>
      </c>
      <c r="G19" s="75" t="s">
        <v>184</v>
      </c>
      <c r="O19" s="84">
        <f t="shared" si="1"/>
        <v>-0.25969959973051165</v>
      </c>
      <c r="P19" s="84">
        <f t="shared" si="2"/>
        <v>-0.49478694776129495</v>
      </c>
      <c r="Q19" s="84">
        <f t="shared" si="3"/>
        <v>0.46532318788887567</v>
      </c>
    </row>
    <row r="20" spans="1:17" x14ac:dyDescent="0.25">
      <c r="A20" s="80">
        <f>+A18+0.1</f>
        <v>2.3000000000000003</v>
      </c>
      <c r="B20" s="82" t="s">
        <v>28</v>
      </c>
      <c r="C20" s="84">
        <f>C21/'Financial Statements'!B8</f>
        <v>-8.873834348606861E-3</v>
      </c>
      <c r="D20" s="84">
        <f>D21/'Financial Statements'!C8</f>
        <v>8.4108449583033568E-2</v>
      </c>
      <c r="E20" s="84">
        <f>E21/'Financial Statements'!D8</f>
        <v>6.5496912429027318E-2</v>
      </c>
      <c r="G20" s="75" t="s">
        <v>169</v>
      </c>
      <c r="I20" s="88" t="s">
        <v>262</v>
      </c>
      <c r="J20" s="88"/>
      <c r="K20" s="88"/>
      <c r="L20" s="88"/>
      <c r="M20" s="88"/>
      <c r="O20" s="84">
        <f t="shared" si="1"/>
        <v>-1.1354847735490217</v>
      </c>
      <c r="P20" s="84">
        <f t="shared" si="2"/>
        <v>-1.105504671559145</v>
      </c>
      <c r="Q20" s="84">
        <f t="shared" si="3"/>
        <v>0.28415900023033569</v>
      </c>
    </row>
    <row r="21" spans="1:17" x14ac:dyDescent="0.25">
      <c r="A21" s="80"/>
      <c r="B21" s="86" t="s">
        <v>29</v>
      </c>
      <c r="C21" s="75">
        <f>'Financial Statements'!B27-('Financial Statements'!B20+'Financial Statements'!B21)-'Financial Statements'!B25</f>
        <v>-4561</v>
      </c>
      <c r="D21" s="75">
        <f>'Financial Statements'!C27-('Financial Statements'!C20+'Financial Statements'!C21)-'Financial Statements'!C25</f>
        <v>39516</v>
      </c>
      <c r="E21" s="75">
        <f>'Financial Statements'!D27-('Financial Statements'!D20+'Financial Statements'!D21)-'Financial Statements'!D25</f>
        <v>25286</v>
      </c>
      <c r="G21" s="75" t="s">
        <v>184</v>
      </c>
      <c r="I21" s="88"/>
      <c r="J21" s="88"/>
      <c r="K21" s="88"/>
      <c r="L21" s="88"/>
      <c r="M21" s="88"/>
      <c r="O21" s="84">
        <f t="shared" si="1"/>
        <v>-1.1803764929209839</v>
      </c>
      <c r="P21" s="84">
        <f t="shared" si="2"/>
        <v>-1.1154216013766576</v>
      </c>
      <c r="Q21" s="84">
        <f t="shared" si="3"/>
        <v>0.56276200268923515</v>
      </c>
    </row>
    <row r="22" spans="1:17" x14ac:dyDescent="0.25">
      <c r="A22" s="80">
        <f>+A20+0.1</f>
        <v>2.4000000000000004</v>
      </c>
      <c r="B22" s="82" t="s">
        <v>30</v>
      </c>
      <c r="C22" s="84">
        <f>'Financial Statements'!B27/'Financial Statements'!B8</f>
        <v>-5.2958950004183018E-3</v>
      </c>
      <c r="D22" s="84">
        <f>'Financial Statements'!C27/'Financial Statements'!C8</f>
        <v>7.1014128755145567E-2</v>
      </c>
      <c r="E22" s="84">
        <f>'Financial Statements'!D27/'Financial Statements'!D8</f>
        <v>5.5252496995316841E-2</v>
      </c>
      <c r="G22" s="75" t="s">
        <v>169</v>
      </c>
      <c r="O22" s="84">
        <f t="shared" si="1"/>
        <v>-1.095848971330059</v>
      </c>
      <c r="P22" s="84">
        <f t="shared" si="2"/>
        <v>-1.0745752302147982</v>
      </c>
      <c r="Q22" s="84">
        <f t="shared" si="3"/>
        <v>0.28526551046488757</v>
      </c>
    </row>
    <row r="23" spans="1:17" x14ac:dyDescent="0.25">
      <c r="A23" s="80"/>
      <c r="O23" s="84"/>
      <c r="P23" s="84"/>
      <c r="Q23" s="84"/>
    </row>
    <row r="24" spans="1:17" x14ac:dyDescent="0.25">
      <c r="A24" s="80">
        <f>+A16+1</f>
        <v>3</v>
      </c>
      <c r="B24" s="77" t="s">
        <v>31</v>
      </c>
      <c r="O24" s="84"/>
      <c r="P24" s="84"/>
      <c r="Q24" s="84"/>
    </row>
    <row r="25" spans="1:17" x14ac:dyDescent="0.25">
      <c r="A25" s="80">
        <f>+A24+0.1</f>
        <v>3.1</v>
      </c>
      <c r="B25" s="82" t="s">
        <v>32</v>
      </c>
      <c r="C25" s="83">
        <f>'Financial Statements'!B67/'Financial Statements'!B76</f>
        <v>2.1680737864875415</v>
      </c>
      <c r="D25" s="83">
        <f>'Financial Statements'!C67/'Financial Statements'!C76</f>
        <v>2.0420557705522802</v>
      </c>
      <c r="E25" s="83">
        <f>'Financial Statements'!D67/'Financial Statements'!D76</f>
        <v>2.4387713588283155</v>
      </c>
      <c r="G25" s="75" t="s">
        <v>169</v>
      </c>
      <c r="O25" s="84">
        <f t="shared" si="1"/>
        <v>-0.11099751986214408</v>
      </c>
      <c r="P25" s="84">
        <f t="shared" si="2"/>
        <v>6.1711348804728942E-2</v>
      </c>
      <c r="Q25" s="84">
        <f t="shared" si="3"/>
        <v>-0.1626702670752348</v>
      </c>
    </row>
    <row r="26" spans="1:17" x14ac:dyDescent="0.25">
      <c r="A26" s="80">
        <f t="shared" ref="A26:A30" si="5">+A25+0.1</f>
        <v>3.2</v>
      </c>
      <c r="B26" s="82" t="s">
        <v>33</v>
      </c>
      <c r="C26" s="83">
        <f>'Financial Statements'!B67/'Financial Statements'!B54</f>
        <v>0.68435078618900957</v>
      </c>
      <c r="D26" s="83">
        <f>'Financial Statements'!C67/'Financial Statements'!C54</f>
        <v>0.67127492872412009</v>
      </c>
      <c r="E26" s="83">
        <f>'Financial Statements'!D67/'Financial Statements'!D54</f>
        <v>0.70919846199349301</v>
      </c>
      <c r="G26" s="75" t="s">
        <v>169</v>
      </c>
      <c r="O26" s="84">
        <f t="shared" si="1"/>
        <v>-3.5036279879455547E-2</v>
      </c>
      <c r="P26" s="84">
        <f t="shared" si="2"/>
        <v>1.947913873342853E-2</v>
      </c>
      <c r="Q26" s="84">
        <f t="shared" si="3"/>
        <v>-5.3473795138772984E-2</v>
      </c>
    </row>
    <row r="27" spans="1:17" x14ac:dyDescent="0.25">
      <c r="A27" s="80">
        <f t="shared" si="5"/>
        <v>3.3000000000000003</v>
      </c>
      <c r="B27" s="82" t="s">
        <v>34</v>
      </c>
      <c r="C27" s="83">
        <f>'Financial Statements'!B66/('Financial Statements'!B66+'Financial Statements'!B76)</f>
        <v>0.52472647275141404</v>
      </c>
      <c r="D27" s="83">
        <f>'Financial Statements'!C66/('Financial Statements'!C66+'Financial Statements'!C76)</f>
        <v>0.50322154066184421</v>
      </c>
      <c r="E27" s="83">
        <f>'Financial Statements'!D66/('Financial Statements'!D66+'Financial Statements'!D76)</f>
        <v>0.52053796006365172</v>
      </c>
      <c r="G27" s="75" t="s">
        <v>169</v>
      </c>
      <c r="O27" s="84">
        <f t="shared" si="1"/>
        <v>8.0465076692008211E-3</v>
      </c>
      <c r="P27" s="84">
        <f t="shared" si="2"/>
        <v>4.2734522177421561E-2</v>
      </c>
      <c r="Q27" s="84">
        <f t="shared" si="3"/>
        <v>-3.3266391176716564E-2</v>
      </c>
    </row>
    <row r="28" spans="1:17" x14ac:dyDescent="0.25">
      <c r="A28" s="80">
        <f t="shared" si="5"/>
        <v>3.4000000000000004</v>
      </c>
      <c r="B28" s="82" t="s">
        <v>35</v>
      </c>
      <c r="C28" s="83">
        <f>C21/SUM('Financial Statements'!B119:B121)</f>
        <v>-0.43158591975775928</v>
      </c>
      <c r="D28" s="83">
        <f>D21/SUM('Financial Statements'!C119:C121)</f>
        <v>4.7375614434720061</v>
      </c>
      <c r="E28" s="83">
        <f>E21/SUM('Financial Statements'!D119:D121)</f>
        <v>4.2122272197234718</v>
      </c>
      <c r="G28" s="75" t="s">
        <v>169</v>
      </c>
      <c r="O28" s="84">
        <f t="shared" si="1"/>
        <v>-1.1024602656136133</v>
      </c>
      <c r="P28" s="84">
        <f t="shared" si="2"/>
        <v>-1.0910987487776969</v>
      </c>
      <c r="Q28" s="84">
        <f t="shared" si="3"/>
        <v>0.12471649707990395</v>
      </c>
    </row>
    <row r="29" spans="1:17" x14ac:dyDescent="0.25">
      <c r="A29" s="80">
        <f t="shared" si="5"/>
        <v>3.5000000000000004</v>
      </c>
      <c r="B29" s="82" t="s">
        <v>36</v>
      </c>
      <c r="C29" s="83">
        <f>'Financial Statements'!B97/'Financial Statements'!B67</f>
        <v>0.14765405897066627</v>
      </c>
      <c r="D29" s="83">
        <f>'Financial Statements'!C97/'Financial Statements'!C67</f>
        <v>0.16410323622761278</v>
      </c>
      <c r="E29" s="83">
        <f>'Financial Statements'!D97/'Financial Statements'!D67</f>
        <v>0.29002023784960773</v>
      </c>
      <c r="G29" s="75" t="s">
        <v>169</v>
      </c>
      <c r="O29" s="84">
        <f t="shared" si="1"/>
        <v>-0.49088360155323557</v>
      </c>
      <c r="P29" s="84">
        <f t="shared" si="2"/>
        <v>-0.10023676336358982</v>
      </c>
      <c r="Q29" s="84">
        <f t="shared" si="3"/>
        <v>-0.43416625872602105</v>
      </c>
    </row>
    <row r="30" spans="1:17" x14ac:dyDescent="0.25">
      <c r="A30" s="80">
        <f t="shared" si="5"/>
        <v>3.6000000000000005</v>
      </c>
      <c r="B30" s="89" t="s">
        <v>37</v>
      </c>
      <c r="C30" s="90">
        <f>C31/'Financial Statements'!B126</f>
        <v>-0.11532044361566395</v>
      </c>
      <c r="D30" s="90">
        <f>D31/'Financial Statements'!C126</f>
        <v>-0.8192501942501943</v>
      </c>
      <c r="E30" s="90">
        <f>E31/'Financial Statements'!D126</f>
        <v>2.4338105510884489</v>
      </c>
      <c r="G30" s="75" t="s">
        <v>185</v>
      </c>
      <c r="O30" s="84">
        <f t="shared" si="1"/>
        <v>-1.0473826705879348</v>
      </c>
      <c r="P30" s="84">
        <f t="shared" si="2"/>
        <v>-0.85923659899622096</v>
      </c>
      <c r="Q30" s="84">
        <f t="shared" si="3"/>
        <v>-1.3366121466947414</v>
      </c>
    </row>
    <row r="31" spans="1:17" x14ac:dyDescent="0.25">
      <c r="A31" s="80"/>
      <c r="B31" s="86" t="s">
        <v>38</v>
      </c>
      <c r="C31" s="75">
        <f>'Financial Statements'!B97+'Financial Statements'!B99+SUM('Financial Statements'!B107:B112)</f>
        <v>-1175</v>
      </c>
      <c r="D31" s="75">
        <f>'Financial Statements'!C97+'Financial Statements'!C99+SUM('Financial Statements'!C107:C112)</f>
        <v>-8435</v>
      </c>
      <c r="E31" s="75">
        <f>'Financial Statements'!D97+'Financial Statements'!D99+SUM('Financial Statements'!D107:D112)</f>
        <v>24820</v>
      </c>
      <c r="G31" s="75" t="s">
        <v>184</v>
      </c>
      <c r="O31" s="84">
        <f t="shared" si="1"/>
        <v>-1.0473408541498792</v>
      </c>
      <c r="P31" s="84">
        <f t="shared" si="2"/>
        <v>-0.86069946650859519</v>
      </c>
      <c r="Q31" s="84">
        <f t="shared" si="3"/>
        <v>-1.3398468976631748</v>
      </c>
    </row>
    <row r="32" spans="1:17" x14ac:dyDescent="0.25">
      <c r="A32" s="80"/>
      <c r="O32" s="84"/>
      <c r="P32" s="84"/>
      <c r="Q32" s="84"/>
    </row>
    <row r="33" spans="1:17" x14ac:dyDescent="0.25">
      <c r="A33" s="80">
        <f>+A24+1</f>
        <v>4</v>
      </c>
      <c r="B33" s="87" t="s">
        <v>39</v>
      </c>
      <c r="O33" s="84"/>
      <c r="P33" s="84"/>
      <c r="Q33" s="84"/>
    </row>
    <row r="34" spans="1:17" x14ac:dyDescent="0.25">
      <c r="A34" s="80">
        <f>+A33+0.1</f>
        <v>4.0999999999999996</v>
      </c>
      <c r="B34" s="82" t="s">
        <v>40</v>
      </c>
      <c r="C34" s="83">
        <f>'Financial Statements'!B8/(('Financial Statements'!B54+'Financial Statements'!C54)/2)</f>
        <v>1.1638791518346421</v>
      </c>
      <c r="D34" s="83">
        <f>'Financial Statements'!C8/(('Financial Statements'!C54+'Financial Statements'!D54)/2)</f>
        <v>1.2668036411484285</v>
      </c>
      <c r="E34" s="83">
        <f>'Financial Statements'!D8/(('Financial Statements'!D54+'Financial Statements'!E54)/2)</f>
        <v>1.4130073950988484</v>
      </c>
      <c r="G34" s="75" t="s">
        <v>169</v>
      </c>
      <c r="O34" s="84">
        <f t="shared" si="1"/>
        <v>-0.17631064361611379</v>
      </c>
      <c r="P34" s="84">
        <f t="shared" si="2"/>
        <v>-8.1247389864209402E-2</v>
      </c>
      <c r="Q34" s="84">
        <f t="shared" si="3"/>
        <v>-0.10346991421102372</v>
      </c>
    </row>
    <row r="35" spans="1:17" x14ac:dyDescent="0.25">
      <c r="A35" s="80">
        <f t="shared" ref="A35:A37" si="6">+A34+0.1</f>
        <v>4.1999999999999993</v>
      </c>
      <c r="B35" s="82" t="s">
        <v>41</v>
      </c>
      <c r="C35" s="83">
        <f>'Financial Statements'!B8/(('Financial Statements'!B49+'Financial Statements'!C49)/2)</f>
        <v>2.9624721898811512</v>
      </c>
      <c r="D35" s="83">
        <f>'Financial Statements'!C8/(('Financial Statements'!C49+'Financial Statements'!D49)/2)</f>
        <v>3.4369465425483274</v>
      </c>
      <c r="E35" s="83">
        <f>'Financial Statements'!D8/(('Financial Statements'!D49+'Financial Statements'!E49)/2)</f>
        <v>4.1552693750369984</v>
      </c>
      <c r="G35" s="75" t="s">
        <v>169</v>
      </c>
      <c r="O35" s="84">
        <f t="shared" si="1"/>
        <v>-0.2870565244991431</v>
      </c>
      <c r="P35" s="84">
        <f t="shared" si="2"/>
        <v>-0.13805112962722332</v>
      </c>
      <c r="Q35" s="84">
        <f t="shared" si="3"/>
        <v>-0.17287034068213089</v>
      </c>
    </row>
    <row r="36" spans="1:17" x14ac:dyDescent="0.25">
      <c r="A36" s="80">
        <f t="shared" si="6"/>
        <v>4.2999999999999989</v>
      </c>
      <c r="B36" s="82" t="s">
        <v>42</v>
      </c>
      <c r="C36" s="83">
        <f>'Financial Statements'!B10/(('Financial Statements'!B45+'Financial Statements'!C45)/2)</f>
        <v>8.6160340070102173</v>
      </c>
      <c r="D36" s="83">
        <f>'Financial Statements'!C10/(('Financial Statements'!C45+'Financial Statements'!D45)/2)</f>
        <v>9.6515991849029863</v>
      </c>
      <c r="E36" s="83">
        <f>'Financial Statements'!D10/(('Financial Statements'!D45+'Financial Statements'!E45)/2)</f>
        <v>10.53494987808182</v>
      </c>
      <c r="G36" s="75" t="s">
        <v>169</v>
      </c>
      <c r="O36" s="84">
        <f t="shared" si="1"/>
        <v>-0.18214760328987864</v>
      </c>
      <c r="P36" s="84">
        <f t="shared" si="2"/>
        <v>-0.10729467294006553</v>
      </c>
      <c r="Q36" s="84">
        <f t="shared" si="3"/>
        <v>-8.3849539238593132E-2</v>
      </c>
    </row>
    <row r="37" spans="1:17" x14ac:dyDescent="0.25">
      <c r="A37" s="80">
        <f t="shared" si="6"/>
        <v>4.3999999999999986</v>
      </c>
      <c r="B37" s="82" t="s">
        <v>43</v>
      </c>
      <c r="C37" s="84">
        <f>'Financial Statements'!B27/(('Financial Statements'!B54+'Financial Statements'!C54)/2)</f>
        <v>-6.1637817812921752E-3</v>
      </c>
      <c r="D37" s="84">
        <f>'Financial Statements'!C27/(('Financial Statements'!C54+'Financial Statements'!D54)/2)</f>
        <v>8.9960956880001719E-2</v>
      </c>
      <c r="E37" s="84">
        <f>'Financial Statements'!$D$27/(('Financial Statements'!$D$54+'Financial Statements'!$E$54)/2)</f>
        <v>7.8072186852059591E-2</v>
      </c>
      <c r="F37" s="84"/>
      <c r="G37" s="75" t="s">
        <v>169</v>
      </c>
      <c r="O37" s="84">
        <f t="shared" si="1"/>
        <v>-1.0789497775049139</v>
      </c>
      <c r="P37" s="84">
        <f t="shared" si="2"/>
        <v>-1.0685161874113234</v>
      </c>
      <c r="Q37" s="84">
        <f t="shared" si="3"/>
        <v>0.15227919835869813</v>
      </c>
    </row>
    <row r="38" spans="1:17" x14ac:dyDescent="0.25">
      <c r="A38" s="80"/>
      <c r="O38" s="84"/>
      <c r="P38" s="84"/>
      <c r="Q38" s="84"/>
    </row>
    <row r="39" spans="1:17" x14ac:dyDescent="0.25">
      <c r="A39" s="80">
        <f>+A33+1</f>
        <v>5</v>
      </c>
      <c r="B39" s="87" t="s">
        <v>44</v>
      </c>
      <c r="O39" s="84"/>
      <c r="P39" s="84"/>
      <c r="Q39" s="84"/>
    </row>
    <row r="40" spans="1:17" x14ac:dyDescent="0.25">
      <c r="A40" s="80">
        <f>+A39+0.1</f>
        <v>5.0999999999999996</v>
      </c>
      <c r="B40" s="82" t="s">
        <v>45</v>
      </c>
      <c r="C40" s="83">
        <f>'Financial Statements'!B125/'List of Ratios'!C41</f>
        <v>-609.5806943423953</v>
      </c>
      <c r="D40" s="83">
        <f>'Financial Statements'!C125/'List of Ratios'!D41</f>
        <v>51.449140390840427</v>
      </c>
      <c r="E40" s="83">
        <f>'Financial Statements'!D125/'List of Ratios'!E41</f>
        <v>40.159017392527304</v>
      </c>
      <c r="G40" s="75" t="s">
        <v>169</v>
      </c>
      <c r="O40" s="84">
        <f t="shared" si="1"/>
        <v>-16.179173543619239</v>
      </c>
      <c r="P40" s="84">
        <f t="shared" si="2"/>
        <v>-12.848219226047942</v>
      </c>
      <c r="Q40" s="84">
        <f t="shared" si="3"/>
        <v>0.28113543934503643</v>
      </c>
    </row>
    <row r="41" spans="1:17" x14ac:dyDescent="0.25">
      <c r="A41" s="80">
        <f t="shared" ref="A41:A44" si="7">+A40+0.1</f>
        <v>5.1999999999999993</v>
      </c>
      <c r="B41" s="86" t="s">
        <v>46</v>
      </c>
      <c r="C41" s="83">
        <f>('Financial Statements'!B27-0)/'Financial Statements'!B126</f>
        <v>-0.2671508489547551</v>
      </c>
      <c r="D41" s="83">
        <f>('Financial Statements'!C27-0)/'Financial Statements'!C126</f>
        <v>3.2404817404817403</v>
      </c>
      <c r="E41" s="83">
        <f>('Financial Statements'!D27-0)/'Financial Statements'!D126</f>
        <v>2.0916846440478527</v>
      </c>
      <c r="G41" s="75" t="s">
        <v>185</v>
      </c>
      <c r="O41" s="84">
        <f t="shared" si="1"/>
        <v>-1.1277204236857432</v>
      </c>
      <c r="P41" s="84">
        <f t="shared" si="2"/>
        <v>-1.082441707853919</v>
      </c>
      <c r="Q41" s="84">
        <f t="shared" si="3"/>
        <v>0.54922098304968281</v>
      </c>
    </row>
    <row r="42" spans="1:17" x14ac:dyDescent="0.25">
      <c r="A42" s="80">
        <f t="shared" si="7"/>
        <v>5.2999999999999989</v>
      </c>
      <c r="B42" s="82" t="s">
        <v>47</v>
      </c>
      <c r="C42" s="83">
        <f>'Financial Statements'!B125/'List of Ratios'!C43</f>
        <v>11.361576042672363</v>
      </c>
      <c r="D42" s="83">
        <f>'Financial Statements'!C125/'List of Ratios'!D43</f>
        <v>12.416717566638939</v>
      </c>
      <c r="E42" s="83">
        <f>'Financial Statements'!D125/'List of Ratios'!E43</f>
        <v>9.1712560489914772</v>
      </c>
      <c r="G42" s="75" t="s">
        <v>169</v>
      </c>
      <c r="O42" s="84">
        <f t="shared" si="1"/>
        <v>0.23882442949804522</v>
      </c>
      <c r="P42" s="84">
        <f t="shared" si="2"/>
        <v>-8.4977492505870889E-2</v>
      </c>
      <c r="Q42" s="84">
        <f t="shared" si="3"/>
        <v>0.35387317727372258</v>
      </c>
    </row>
    <row r="43" spans="1:17" x14ac:dyDescent="0.25">
      <c r="A43" s="80">
        <f t="shared" si="7"/>
        <v>5.3999999999999986</v>
      </c>
      <c r="B43" s="86" t="s">
        <v>48</v>
      </c>
      <c r="C43" s="83">
        <f>('Financial Statements'!B76-'Financial Statements'!B70)/'Financial Statements'!B126</f>
        <v>14.333398763372264</v>
      </c>
      <c r="D43" s="83">
        <f>('Financial Statements'!C76-'Financial Statements'!C70)/'Financial Statements'!C126</f>
        <v>13.427059052059052</v>
      </c>
      <c r="E43" s="83">
        <f>('Financial Statements'!D76-'Financial Statements'!D70)/'Financial Statements'!D126</f>
        <v>9.1590507942733872</v>
      </c>
      <c r="G43" s="75" t="s">
        <v>185</v>
      </c>
      <c r="O43" s="84">
        <f t="shared" si="1"/>
        <v>0.56494369179981951</v>
      </c>
      <c r="P43" s="84">
        <f t="shared" si="2"/>
        <v>6.7500984973639766E-2</v>
      </c>
      <c r="Q43" s="84">
        <f t="shared" si="3"/>
        <v>0.46598805418288519</v>
      </c>
    </row>
    <row r="44" spans="1:17" x14ac:dyDescent="0.25">
      <c r="A44" s="80">
        <f t="shared" si="7"/>
        <v>5.4999999999999982</v>
      </c>
      <c r="B44" s="82" t="s">
        <v>49</v>
      </c>
      <c r="C44" s="75">
        <v>0</v>
      </c>
      <c r="D44" s="75">
        <v>0</v>
      </c>
      <c r="E44" s="75">
        <v>0</v>
      </c>
      <c r="G44" s="75" t="s">
        <v>169</v>
      </c>
      <c r="O44" s="84"/>
      <c r="P44" s="84"/>
      <c r="Q44" s="84"/>
    </row>
    <row r="45" spans="1:17" x14ac:dyDescent="0.25">
      <c r="A45" s="80"/>
      <c r="B45" s="86" t="s">
        <v>50</v>
      </c>
      <c r="C45" s="75">
        <v>0</v>
      </c>
      <c r="D45" s="75">
        <v>0</v>
      </c>
      <c r="E45" s="75">
        <v>0</v>
      </c>
      <c r="G45" s="75" t="s">
        <v>185</v>
      </c>
      <c r="O45" s="84"/>
      <c r="P45" s="84"/>
      <c r="Q45" s="84"/>
    </row>
    <row r="46" spans="1:17" x14ac:dyDescent="0.25">
      <c r="A46" s="80">
        <f>+A44+0.1</f>
        <v>5.5999999999999979</v>
      </c>
      <c r="B46" s="82" t="s">
        <v>51</v>
      </c>
      <c r="C46" s="84">
        <v>0</v>
      </c>
      <c r="D46" s="84">
        <v>0</v>
      </c>
      <c r="E46" s="84">
        <v>0</v>
      </c>
      <c r="G46" s="75" t="s">
        <v>169</v>
      </c>
      <c r="O46" s="84"/>
      <c r="P46" s="84"/>
      <c r="Q46" s="84"/>
    </row>
    <row r="47" spans="1:17" x14ac:dyDescent="0.25">
      <c r="A47" s="80">
        <f t="shared" ref="A47:A50" si="8">+A45+0.1</f>
        <v>0.1</v>
      </c>
      <c r="B47" s="82" t="s">
        <v>52</v>
      </c>
      <c r="C47" s="84">
        <f>'Financial Statements'!B27/'Financial Statements'!B76</f>
        <v>-1.8638346240490815E-2</v>
      </c>
      <c r="D47" s="84">
        <f>'Financial Statements'!C27/'Financial Statements'!C76</f>
        <v>0.2413396506202756</v>
      </c>
      <c r="E47" s="84">
        <f>'Financial Statements'!D27/'Financial Statements'!D76</f>
        <v>0.22837351719412444</v>
      </c>
      <c r="G47" s="75" t="s">
        <v>169</v>
      </c>
      <c r="O47" s="84">
        <f t="shared" si="1"/>
        <v>-1.081613430793062</v>
      </c>
      <c r="P47" s="84">
        <f t="shared" si="2"/>
        <v>-1.0772286948812089</v>
      </c>
      <c r="Q47" s="84">
        <f t="shared" si="3"/>
        <v>5.6775993930721629E-2</v>
      </c>
    </row>
    <row r="48" spans="1:17" x14ac:dyDescent="0.25">
      <c r="A48" s="80">
        <f t="shared" si="8"/>
        <v>5.6999999999999975</v>
      </c>
      <c r="B48" s="82" t="s">
        <v>53</v>
      </c>
      <c r="C48" s="84">
        <f>C21/('Financial Statements'!B54-'Financial Statements'!B60)</f>
        <v>-1.4843043198104672E-2</v>
      </c>
      <c r="D48" s="84">
        <f>D21/('Financial Statements'!C54-'Financial Statements'!C60)</f>
        <v>0.14199933161565745</v>
      </c>
      <c r="E48" s="84">
        <f>E21/('Financial Statements'!D54-'Financial Statements'!D60)</f>
        <v>0.12979826497613059</v>
      </c>
      <c r="G48" s="75" t="s">
        <v>169</v>
      </c>
      <c r="O48" s="84">
        <f t="shared" si="1"/>
        <v>-1.1143547119126302</v>
      </c>
      <c r="P48" s="84">
        <f t="shared" si="2"/>
        <v>-1.1045289652368195</v>
      </c>
      <c r="Q48" s="84">
        <f t="shared" si="3"/>
        <v>9.4000229061386831E-2</v>
      </c>
    </row>
    <row r="49" spans="1:17" x14ac:dyDescent="0.25">
      <c r="A49" s="80">
        <f t="shared" si="8"/>
        <v>0.2</v>
      </c>
      <c r="B49" s="82" t="s">
        <v>43</v>
      </c>
      <c r="C49" s="84">
        <f t="shared" ref="C49:D49" si="9">C37</f>
        <v>-6.1637817812921752E-3</v>
      </c>
      <c r="D49" s="84">
        <f t="shared" si="9"/>
        <v>8.9960956880001719E-2</v>
      </c>
      <c r="E49" s="84">
        <f>E37</f>
        <v>7.8072186852059591E-2</v>
      </c>
      <c r="G49" s="75" t="s">
        <v>169</v>
      </c>
      <c r="O49" s="84">
        <f t="shared" si="1"/>
        <v>-1.0789497775049139</v>
      </c>
      <c r="P49" s="84">
        <f t="shared" si="2"/>
        <v>-1.0685161874113234</v>
      </c>
      <c r="Q49" s="84">
        <f t="shared" si="3"/>
        <v>0.15227919835869813</v>
      </c>
    </row>
    <row r="50" spans="1:17" x14ac:dyDescent="0.25">
      <c r="A50" s="80">
        <f t="shared" si="8"/>
        <v>5.7999999999999972</v>
      </c>
      <c r="B50" s="82" t="s">
        <v>54</v>
      </c>
      <c r="C50" s="83">
        <f t="shared" ref="C50:D50" si="10">C51/C19</f>
        <v>51.446002408993571</v>
      </c>
      <c r="D50" s="83">
        <f t="shared" si="10"/>
        <v>26.540360518735884</v>
      </c>
      <c r="E50" s="83">
        <f>E51/E19</f>
        <v>20.653529108706852</v>
      </c>
      <c r="G50" s="75" t="s">
        <v>169</v>
      </c>
      <c r="O50" s="84">
        <f t="shared" si="1"/>
        <v>1.4909061370681498</v>
      </c>
      <c r="P50" s="84">
        <f t="shared" si="2"/>
        <v>0.93840631413713527</v>
      </c>
      <c r="Q50" s="84">
        <f t="shared" si="3"/>
        <v>0.28502787000926327</v>
      </c>
    </row>
    <row r="51" spans="1:17" x14ac:dyDescent="0.25">
      <c r="A51" s="80"/>
      <c r="B51" s="86" t="s">
        <v>55</v>
      </c>
      <c r="C51" s="91">
        <f>'Financial Statements'!B127+'Financial Statements'!B67-'Financial Statements'!B43</f>
        <v>1922022.65</v>
      </c>
      <c r="D51" s="91">
        <f>'Financial Statements'!C127+'Financial Statements'!C67-'Financial Statements'!C43</f>
        <v>1962633.1199999999</v>
      </c>
      <c r="E51" s="91">
        <f>'Financial Statements'!D127+'Financial Statements'!D67-'Financial Statements'!D43</f>
        <v>1042301</v>
      </c>
      <c r="G51" s="75" t="s">
        <v>184</v>
      </c>
      <c r="O51" s="84">
        <f t="shared" si="1"/>
        <v>0.84401881030527637</v>
      </c>
      <c r="P51" s="84">
        <f t="shared" si="2"/>
        <v>-2.0691829555999734E-2</v>
      </c>
      <c r="Q51" s="84">
        <f t="shared" si="3"/>
        <v>0.88298113500802544</v>
      </c>
    </row>
    <row r="52" spans="1:17" x14ac:dyDescent="0.25">
      <c r="O52" s="84"/>
      <c r="P52" s="84"/>
      <c r="Q52" s="84"/>
    </row>
    <row r="53" spans="1:17" x14ac:dyDescent="0.25">
      <c r="O53" s="84"/>
      <c r="P53" s="84"/>
      <c r="Q53" s="84"/>
    </row>
    <row r="54" spans="1:17" ht="15.75" x14ac:dyDescent="0.25">
      <c r="B54" s="92" t="s">
        <v>187</v>
      </c>
      <c r="O54" s="84"/>
      <c r="P54" s="84"/>
      <c r="Q54" s="84"/>
    </row>
    <row r="55" spans="1:17" x14ac:dyDescent="0.25">
      <c r="O55" s="84"/>
      <c r="P55" s="84"/>
      <c r="Q55" s="84"/>
    </row>
    <row r="56" spans="1:17" x14ac:dyDescent="0.25">
      <c r="B56" s="77" t="s">
        <v>188</v>
      </c>
      <c r="O56" s="84"/>
      <c r="P56" s="84"/>
      <c r="Q56" s="84"/>
    </row>
    <row r="57" spans="1:17" x14ac:dyDescent="0.25">
      <c r="B57" s="75" t="s">
        <v>189</v>
      </c>
      <c r="C57" s="84">
        <f>('Financial Statements'!B6-'Financial Statements'!C6)/'Financial Statements'!C6</f>
        <v>4.6073610243726913E-3</v>
      </c>
      <c r="D57" s="84">
        <f>('Financial Statements'!C6-'Financial Statements'!D6)/'Financial Statements'!D6</f>
        <v>0.11982493110714865</v>
      </c>
      <c r="E57" s="84">
        <f>('Financial Statements'!D6-'Financial Statements'!E6)/'Financial Statements'!E6</f>
        <v>0.3460363572889133</v>
      </c>
      <c r="G57" s="75" t="s">
        <v>169</v>
      </c>
      <c r="O57" s="84">
        <f t="shared" si="1"/>
        <v>-0.98668532676603715</v>
      </c>
      <c r="P57" s="84">
        <f t="shared" si="2"/>
        <v>-0.96154922868052606</v>
      </c>
      <c r="Q57" s="84">
        <f t="shared" si="3"/>
        <v>-0.6537215567579675</v>
      </c>
    </row>
    <row r="58" spans="1:17" x14ac:dyDescent="0.25">
      <c r="B58" s="75" t="s">
        <v>190</v>
      </c>
      <c r="C58" s="84">
        <f>('Financial Statements'!B7-'Financial Statements'!C7)/'Financial Statements'!C7</f>
        <v>0.18877365316727696</v>
      </c>
      <c r="D58" s="84">
        <f>('Financial Statements'!C7-'Financial Statements'!D7)/'Financial Statements'!D7</f>
        <v>0.34020770030972852</v>
      </c>
      <c r="E58" s="84">
        <f>('Financial Statements'!D7-'Financial Statements'!E7)/'Financial Statements'!E7</f>
        <v>0.41656259886441216</v>
      </c>
      <c r="G58" s="75" t="s">
        <v>169</v>
      </c>
      <c r="O58" s="84">
        <f t="shared" si="1"/>
        <v>-0.54683004743610863</v>
      </c>
      <c r="P58" s="84">
        <f t="shared" si="2"/>
        <v>-0.44512233851433841</v>
      </c>
      <c r="Q58" s="84">
        <f t="shared" si="3"/>
        <v>-0.18329753742374877</v>
      </c>
    </row>
    <row r="59" spans="1:17" x14ac:dyDescent="0.25">
      <c r="B59" s="75" t="s">
        <v>191</v>
      </c>
      <c r="C59" s="84">
        <f>('Financial Statements'!B8-'Financial Statements'!C8)/'Financial Statements'!C8</f>
        <v>9.3995172639850841E-2</v>
      </c>
      <c r="D59" s="84">
        <f>('Financial Statements'!C8-'Financial Statements'!D8)/'Financial Statements'!D8</f>
        <v>0.21695366571345684</v>
      </c>
      <c r="E59" s="84">
        <f>('Financial Statements'!D8-'Financial Statements'!E8)/'Financial Statements'!E8</f>
        <v>0.37623430604373276</v>
      </c>
      <c r="G59" s="75" t="s">
        <v>169</v>
      </c>
      <c r="O59" s="84">
        <f t="shared" si="1"/>
        <v>-0.7501685223012996</v>
      </c>
      <c r="P59" s="84">
        <f t="shared" si="2"/>
        <v>-0.56675001396844038</v>
      </c>
      <c r="Q59" s="84">
        <f t="shared" si="3"/>
        <v>-0.42335490882046639</v>
      </c>
    </row>
    <row r="60" spans="1:17" x14ac:dyDescent="0.25">
      <c r="B60" s="75" t="s">
        <v>192</v>
      </c>
      <c r="C60" s="84">
        <f>('Financial Statements'!B11-'Financial Statements'!C11)/'Financial Statements'!C11</f>
        <v>0.14013712919920193</v>
      </c>
      <c r="D60" s="84">
        <f>('Financial Statements'!C11-'Financial Statements'!D11)/'Financial Statements'!D11</f>
        <v>0.29275908796323574</v>
      </c>
      <c r="E60" s="84">
        <f>('Financial Statements'!D11-'Financial Statements'!E11)/'Financial Statements'!E11</f>
        <v>0.32848346755257163</v>
      </c>
      <c r="G60" s="75" t="s">
        <v>169</v>
      </c>
      <c r="O60" s="84">
        <f t="shared" si="1"/>
        <v>-0.57338148478728568</v>
      </c>
      <c r="P60" s="84">
        <f t="shared" si="2"/>
        <v>-0.52132270197261943</v>
      </c>
      <c r="Q60" s="84">
        <f t="shared" si="3"/>
        <v>-0.10875548731723746</v>
      </c>
    </row>
    <row r="61" spans="1:17" x14ac:dyDescent="0.25">
      <c r="B61" s="75" t="s">
        <v>267</v>
      </c>
      <c r="C61" s="84">
        <f>('Financial Statements'!B13-'Financial Statements'!C13)/'Financial Statements'!C13</f>
        <v>0.12232562474204843</v>
      </c>
      <c r="D61" s="84">
        <f>('Financial Statements'!C13-'Financial Statements'!D13)/'Financial Statements'!D13</f>
        <v>0.28357571304065488</v>
      </c>
      <c r="E61" s="84">
        <f>('Financial Statements'!D13-'Financial Statements'!E13)/'Financial Statements'!E13</f>
        <v>0.45448896400874927</v>
      </c>
      <c r="G61" s="75" t="s">
        <v>169</v>
      </c>
      <c r="O61" s="84">
        <f t="shared" si="1"/>
        <v>-0.73085017584784839</v>
      </c>
      <c r="P61" s="84">
        <f t="shared" si="2"/>
        <v>-0.5686315184385653</v>
      </c>
      <c r="Q61" s="84">
        <f t="shared" si="3"/>
        <v>-0.37605588804749102</v>
      </c>
    </row>
    <row r="62" spans="1:17" x14ac:dyDescent="0.25">
      <c r="B62" s="75" t="s">
        <v>268</v>
      </c>
      <c r="C62" s="84">
        <f>('Financial Statements'!B14-'Financial Statements'!C14)/'Financial Statements'!C14</f>
        <v>0.3061621351602084</v>
      </c>
      <c r="D62" s="84">
        <f>('Financial Statements'!C14-'Financial Statements'!D14)/'Financial Statements'!D14</f>
        <v>0.31146467009826861</v>
      </c>
      <c r="E62" s="84">
        <f>('Financial Statements'!D14-'Financial Statements'!E14)/'Financial Statements'!E14</f>
        <v>0.18950210124961733</v>
      </c>
      <c r="G62" s="75" t="s">
        <v>169</v>
      </c>
      <c r="O62" s="84">
        <f t="shared" si="1"/>
        <v>0.61561340555756316</v>
      </c>
      <c r="P62" s="84">
        <f t="shared" si="2"/>
        <v>-1.7024514967900646E-2</v>
      </c>
      <c r="Q62" s="84">
        <f t="shared" si="3"/>
        <v>0.64359481000159924</v>
      </c>
    </row>
    <row r="63" spans="1:17" x14ac:dyDescent="0.25">
      <c r="B63" s="75" t="s">
        <v>269</v>
      </c>
      <c r="C63" s="84">
        <f>('Financial Statements'!B15-'Financial Statements'!C15)/'Financial Statements'!C15</f>
        <v>0.29759454394642254</v>
      </c>
      <c r="D63" s="84">
        <f>('Financial Statements'!C15-'Financial Statements'!D15)/'Financial Statements'!D15</f>
        <v>0.47905307161032351</v>
      </c>
      <c r="E63" s="84">
        <f>('Financial Statements'!D15-'Financial Statements'!E15)/'Financial Statements'!E15</f>
        <v>0.1658014620192817</v>
      </c>
      <c r="G63" s="75" t="s">
        <v>169</v>
      </c>
      <c r="O63" s="84">
        <f t="shared" si="1"/>
        <v>0.79488492032605906</v>
      </c>
      <c r="P63" s="84">
        <f t="shared" si="2"/>
        <v>-0.37878585571726575</v>
      </c>
      <c r="Q63" s="84">
        <f t="shared" si="3"/>
        <v>1.8893175354184306</v>
      </c>
    </row>
    <row r="64" spans="1:17" x14ac:dyDescent="0.25">
      <c r="B64" s="75" t="s">
        <v>270</v>
      </c>
      <c r="C64" s="84">
        <f>('Financial Statements'!B16-'Financial Statements'!C16)/'Financial Statements'!C16</f>
        <v>0.3477275303184858</v>
      </c>
      <c r="D64" s="84">
        <f>('Financial Statements'!C16-'Financial Statements'!D16)/'Financial Statements'!D16</f>
        <v>0.32318536292741451</v>
      </c>
      <c r="E64" s="84">
        <f>('Financial Statements'!D16-'Financial Statements'!E16)/'Financial Statements'!E16</f>
        <v>0.28156832596578896</v>
      </c>
      <c r="G64" s="75" t="s">
        <v>169</v>
      </c>
      <c r="O64" s="84">
        <f t="shared" si="1"/>
        <v>0.23496678515159158</v>
      </c>
      <c r="P64" s="84">
        <f t="shared" si="2"/>
        <v>7.5938362952976041E-2</v>
      </c>
      <c r="Q64" s="84">
        <f t="shared" si="3"/>
        <v>0.14780439816473567</v>
      </c>
    </row>
    <row r="65" spans="2:17" x14ac:dyDescent="0.25">
      <c r="B65" s="75" t="s">
        <v>213</v>
      </c>
      <c r="C65" s="84">
        <f>('Financial Statements'!B17-'Financial Statements'!C17)/'Financial Statements'!C17</f>
        <v>19.370967741935484</v>
      </c>
      <c r="D65" s="84">
        <f>('Financial Statements'!C17-'Financial Statements'!D17)/'Financial Statements'!D17</f>
        <v>-1.8266666666666667</v>
      </c>
      <c r="E65" s="84">
        <f>('Financial Statements'!D17-'Financial Statements'!E17)/'Financial Statements'!E17</f>
        <v>-1.3731343283582089</v>
      </c>
      <c r="G65" s="75" t="s">
        <v>169</v>
      </c>
      <c r="O65" s="84">
        <f t="shared" si="1"/>
        <v>-15.107117812061711</v>
      </c>
      <c r="P65" s="84">
        <f t="shared" si="2"/>
        <v>-11.604544384271252</v>
      </c>
      <c r="Q65" s="84">
        <f t="shared" si="3"/>
        <v>0.33028985507246378</v>
      </c>
    </row>
    <row r="66" spans="2:17" x14ac:dyDescent="0.25">
      <c r="C66" s="84"/>
      <c r="D66" s="84"/>
      <c r="E66" s="84"/>
      <c r="O66" s="84"/>
      <c r="P66" s="84"/>
      <c r="Q66" s="84"/>
    </row>
    <row r="67" spans="2:17" x14ac:dyDescent="0.25">
      <c r="B67" s="93" t="s">
        <v>215</v>
      </c>
      <c r="C67" s="84">
        <f>('Financial Statements'!B22-'Financial Statements'!C22)/'Financial Statements'!C22</f>
        <v>-2.1484999658306569</v>
      </c>
      <c r="D67" s="84">
        <f>('Financial Statements'!C22-'Financial Statements'!D22)/'Financial Statements'!D22</f>
        <v>5.1716575284690007</v>
      </c>
      <c r="E67" s="84">
        <f>('Financial Statements'!D22-'Financial Statements'!E22)/'Financial Statements'!E22</f>
        <v>10.679802955665025</v>
      </c>
      <c r="G67" s="75" t="s">
        <v>169</v>
      </c>
      <c r="O67" s="84">
        <f t="shared" si="1"/>
        <v>-1.2011741204168005</v>
      </c>
      <c r="P67" s="84">
        <f t="shared" si="2"/>
        <v>-1.4154374016461007</v>
      </c>
      <c r="Q67" s="84">
        <f t="shared" si="3"/>
        <v>-0.51575346942841005</v>
      </c>
    </row>
    <row r="68" spans="2:17" x14ac:dyDescent="0.25">
      <c r="O68" s="84"/>
      <c r="P68" s="84"/>
      <c r="Q68" s="84"/>
    </row>
    <row r="69" spans="2:17" x14ac:dyDescent="0.25">
      <c r="B69" s="78" t="s">
        <v>195</v>
      </c>
    </row>
    <row r="70" spans="2:17" x14ac:dyDescent="0.25">
      <c r="B70" s="82" t="s">
        <v>86</v>
      </c>
      <c r="C70" s="84">
        <f>('Financial Statements'!B43-'Financial Statements'!C43)/'Financial Statements'!C43</f>
        <v>0.48779679734953063</v>
      </c>
      <c r="D70" s="84">
        <f>('Financial Statements'!C43-'Financial Statements'!D43)/'Financial Statements'!D43</f>
        <v>-0.14011680357058071</v>
      </c>
      <c r="E70" s="84">
        <f>('Financial Statements'!D43-'Financial Statements'!E43)/'Financial Statements'!E43</f>
        <v>0.16707303557575087</v>
      </c>
      <c r="G70" s="75" t="s">
        <v>169</v>
      </c>
      <c r="O70" s="84">
        <f>(C70-E70)/E70</f>
        <v>1.9196620248655487</v>
      </c>
      <c r="P70" s="84">
        <f>(C70-D70)/D70</f>
        <v>-4.4813583019242511</v>
      </c>
      <c r="Q70" s="84">
        <f>(D70-E70)/E70</f>
        <v>-1.8386559990828191</v>
      </c>
    </row>
    <row r="71" spans="2:17" x14ac:dyDescent="0.25">
      <c r="B71" s="82" t="s">
        <v>87</v>
      </c>
      <c r="C71" s="84">
        <f>('Financial Statements'!B44-'Financial Statements'!C44)/'Financial Statements'!C44</f>
        <v>-0.7302645874074446</v>
      </c>
      <c r="D71" s="84">
        <f>('Financial Statements'!C44-'Financial Statements'!D44)/'Financial Statements'!D44</f>
        <v>0.41526706722808343</v>
      </c>
      <c r="E71" s="84">
        <f>('Financial Statements'!D44-'Financial Statements'!E44)/'Financial Statements'!E44</f>
        <v>1.2332928311057108</v>
      </c>
      <c r="G71" s="75" t="s">
        <v>169</v>
      </c>
      <c r="O71" s="84">
        <f>(C71-E71)/E71</f>
        <v>-1.5921258674249528</v>
      </c>
      <c r="P71" s="84">
        <f>(C71-D71)/D71</f>
        <v>-2.7585420203966002</v>
      </c>
      <c r="Q71" s="84">
        <f>(D71-E71)/E71</f>
        <v>-0.66328591494708111</v>
      </c>
    </row>
    <row r="72" spans="2:17" x14ac:dyDescent="0.25">
      <c r="B72" s="82" t="s">
        <v>89</v>
      </c>
      <c r="C72" s="84">
        <f>('Financial Statements'!B45-'Financial Statements'!C45)/'Financial Statements'!C45</f>
        <v>5.4074754901960786E-2</v>
      </c>
      <c r="D72" s="84">
        <f>('Financial Statements'!C45-'Financial Statements'!D45)/'Financial Statements'!D45</f>
        <v>0.37171674721580161</v>
      </c>
      <c r="E72" s="84">
        <f>('Financial Statements'!D45-'Financial Statements'!E45)/'Financial Statements'!E45</f>
        <v>0.16090159535541787</v>
      </c>
      <c r="G72" s="75" t="s">
        <v>169</v>
      </c>
      <c r="O72" s="84">
        <f>(C72-E72)/E72</f>
        <v>-0.66392654602016665</v>
      </c>
      <c r="P72" s="84">
        <f>(C72-D72)/D72</f>
        <v>-0.85452698780190428</v>
      </c>
      <c r="Q72" s="84">
        <f>(D72-E72)/E72</f>
        <v>1.3102116942638828</v>
      </c>
    </row>
    <row r="73" spans="2:17" x14ac:dyDescent="0.25">
      <c r="B73" s="82" t="s">
        <v>88</v>
      </c>
      <c r="C73" s="84">
        <f>('Financial Statements'!B46-'Financial Statements'!C46)/'Financial Statements'!C46</f>
        <v>0.28789030433857288</v>
      </c>
      <c r="D73" s="84">
        <f>('Financial Statements'!C46-'Financial Statements'!D46)/'Financial Statements'!D46</f>
        <v>0.34019232336402899</v>
      </c>
      <c r="E73" s="84">
        <f>('Financial Statements'!D46-'Financial Statements'!E46)/'Financial Statements'!E46</f>
        <v>0.17899692544196771</v>
      </c>
      <c r="G73" s="75" t="s">
        <v>169</v>
      </c>
      <c r="O73" s="84">
        <f>(C73-E73)/E73</f>
        <v>0.60835334812445874</v>
      </c>
      <c r="P73" s="84">
        <f>(C73-D73)/D73</f>
        <v>-0.15374250220658092</v>
      </c>
      <c r="Q73" s="84">
        <f>(D73-E73)/E73</f>
        <v>0.90054841737671165</v>
      </c>
    </row>
    <row r="74" spans="2:17" x14ac:dyDescent="0.25">
      <c r="B74" s="82" t="s">
        <v>271</v>
      </c>
      <c r="C74" s="84">
        <f>('Financial Statements'!B49-'Financial Statements'!C49)/'Financial Statements'!C49</f>
        <v>0.16492285423724584</v>
      </c>
      <c r="D74" s="84">
        <f>('Financial Statements'!C49-'Financial Statements'!D49)/'Financial Statements'!D49</f>
        <v>0.41698640309775981</v>
      </c>
      <c r="E74" s="84">
        <f>('Financial Statements'!D49-'Financial Statements'!E49)/'Financial Statements'!E49</f>
        <v>0.55579396190083208</v>
      </c>
      <c r="G74" s="75" t="s">
        <v>169</v>
      </c>
      <c r="O74" s="84">
        <f>(C74-E74)/E74</f>
        <v>-0.70326620017028485</v>
      </c>
      <c r="P74" s="84">
        <f>(C74-D74)/D74</f>
        <v>-0.60448865235881388</v>
      </c>
      <c r="Q74" s="84">
        <f>(D74-E74)/E74</f>
        <v>-0.24974643180423595</v>
      </c>
    </row>
    <row r="75" spans="2:17" x14ac:dyDescent="0.25">
      <c r="B75" s="82" t="s">
        <v>225</v>
      </c>
      <c r="C75" s="84">
        <f>('Financial Statements'!B50-'Financial Statements'!C50)/'Financial Statements'!C50</f>
        <v>0.17904140365892801</v>
      </c>
      <c r="D75" s="84">
        <f>('Financial Statements'!C50-'Financial Statements'!D50)/'Financial Statements'!D50</f>
        <v>0.49340931483503314</v>
      </c>
      <c r="E75" s="84">
        <f>('Financial Statements'!D50-'Financial Statements'!E50)/'Financial Statements'!E50</f>
        <v>0.49369555705819179</v>
      </c>
      <c r="G75" s="75" t="s">
        <v>169</v>
      </c>
      <c r="O75" s="84">
        <f>(C75-E75)/E75</f>
        <v>-0.63734451100635603</v>
      </c>
      <c r="P75" s="84">
        <f>(C75-D75)/D75</f>
        <v>-0.63713412317967921</v>
      </c>
      <c r="Q75" s="84">
        <f>(D75-E75)/E75</f>
        <v>-5.7979501550367617E-4</v>
      </c>
    </row>
    <row r="76" spans="2:17" x14ac:dyDescent="0.25">
      <c r="B76" s="82" t="s">
        <v>226</v>
      </c>
      <c r="C76" s="84">
        <f>('Financial Statements'!B51-'Financial Statements'!C51)/'Financial Statements'!C51</f>
        <v>0.31988810096935788</v>
      </c>
      <c r="D76" s="84">
        <f>('Financial Statements'!C51-'Financial Statements'!D51)/'Financial Statements'!D51</f>
        <v>2.3573283611906505E-2</v>
      </c>
      <c r="E76" s="84">
        <f>('Financial Statements'!D51-'Financial Statements'!E51)/'Financial Statements'!E51</f>
        <v>1.7825674393384845E-2</v>
      </c>
      <c r="G76" s="75" t="s">
        <v>169</v>
      </c>
      <c r="O76" s="84">
        <f>(C76-E76)/E76</f>
        <v>16.945357573011051</v>
      </c>
      <c r="P76" s="84">
        <f>(C76-D76)/D76</f>
        <v>12.569942407505218</v>
      </c>
      <c r="Q76" s="84">
        <f>(D76-E76)/E76</f>
        <v>0.32243432095083108</v>
      </c>
    </row>
    <row r="77" spans="2:17" x14ac:dyDescent="0.25">
      <c r="B77" s="82" t="s">
        <v>227</v>
      </c>
      <c r="C77" s="84">
        <f>('Financial Statements'!B52-'Financial Statements'!C52)/'Financial Statements'!C52</f>
        <v>0.56996511841380582</v>
      </c>
      <c r="D77" s="84">
        <f>('Financial Statements'!C52-'Financial Statements'!D52)/'Financial Statements'!D52</f>
        <v>0.19567126174378788</v>
      </c>
      <c r="E77" s="84">
        <f>('Financial Statements'!D52-'Financial Statements'!E52)/'Financial Statements'!E52</f>
        <v>0.39622410199828367</v>
      </c>
      <c r="G77" s="75" t="s">
        <v>169</v>
      </c>
      <c r="O77" s="84">
        <f>(C77-E77)/E77</f>
        <v>0.43849179173929892</v>
      </c>
      <c r="P77" s="84">
        <f>(C77-D77)/D77</f>
        <v>1.9128708699191537</v>
      </c>
      <c r="Q77" s="84">
        <f>(D77-E77)/E77</f>
        <v>-0.50616012312992642</v>
      </c>
    </row>
    <row r="79" spans="2:17" x14ac:dyDescent="0.25">
      <c r="B79" s="82" t="s">
        <v>99</v>
      </c>
      <c r="C79" s="84">
        <f>('Financial Statements'!B57-'Financial Statements'!C57)/'Financial Statements'!C57</f>
        <v>1.1898708430794264E-2</v>
      </c>
      <c r="D79" s="84">
        <f>('Financial Statements'!C57-'Financial Statements'!D57)/'Financial Statements'!D57</f>
        <v>8.4437337156564055E-2</v>
      </c>
      <c r="E79" s="84">
        <f>('Financial Statements'!D57-'Financial Statements'!E57)/'Financial Statements'!E57</f>
        <v>0.53739694381450942</v>
      </c>
      <c r="G79" s="75" t="s">
        <v>169</v>
      </c>
      <c r="O79" s="84">
        <f>(C79-E79)/E79</f>
        <v>-0.97785862281550073</v>
      </c>
      <c r="P79" s="84">
        <f>(C79-D79)/D79</f>
        <v>-0.85908238190018194</v>
      </c>
      <c r="Q79" s="84">
        <f>(D79-E79)/E79</f>
        <v>-0.84287715416240094</v>
      </c>
    </row>
    <row r="80" spans="2:17" x14ac:dyDescent="0.25">
      <c r="B80" s="82" t="s">
        <v>228</v>
      </c>
      <c r="C80" s="84">
        <f>('Financial Statements'!B58-'Financial Statements'!C58)/'Financial Statements'!C58</f>
        <v>0.20842105263157895</v>
      </c>
      <c r="D80" s="84">
        <f>('Financial Statements'!C58-'Financial Statements'!D58)/'Financial Statements'!D58</f>
        <v>0.17302551089763923</v>
      </c>
      <c r="E80" s="84">
        <f>('Financial Statements'!D58-'Financial Statements'!E58)/'Financial Statements'!E58</f>
        <v>0.36064613582416227</v>
      </c>
      <c r="G80" s="75" t="s">
        <v>169</v>
      </c>
      <c r="O80" s="84">
        <f>(C80-E80)/E80</f>
        <v>-0.42208987722747332</v>
      </c>
      <c r="P80" s="84">
        <f>(C80-D80)/D80</f>
        <v>0.20456834110941877</v>
      </c>
      <c r="Q80" s="84">
        <f>(D80-E80)/E80</f>
        <v>-0.52023467407397905</v>
      </c>
    </row>
    <row r="81" spans="2:17" x14ac:dyDescent="0.25">
      <c r="B81" s="82" t="s">
        <v>229</v>
      </c>
      <c r="C81" s="84">
        <f>('Financial Statements'!B59-'Financial Statements'!C59)/'Financial Statements'!C59</f>
        <v>0.11837321383275556</v>
      </c>
      <c r="D81" s="84">
        <f>('Financial Statements'!C59-'Financial Statements'!D59)/'Financial Statements'!D59</f>
        <v>0.21827358879274825</v>
      </c>
      <c r="E81" s="84">
        <f>('Financial Statements'!D59-'Financial Statements'!E59)/'Financial Statements'!E59</f>
        <v>0.18534798534798536</v>
      </c>
      <c r="G81" s="75" t="s">
        <v>169</v>
      </c>
      <c r="O81" s="84">
        <f>(C81-E81)/E81</f>
        <v>-0.36134609928177336</v>
      </c>
      <c r="P81" s="84">
        <f>(C81-D81)/D81</f>
        <v>-0.45768420958546907</v>
      </c>
      <c r="Q81" s="84">
        <f>(D81-E81)/E81</f>
        <v>0.17764208973162587</v>
      </c>
    </row>
    <row r="82" spans="2:17" x14ac:dyDescent="0.25">
      <c r="B82" s="82" t="s">
        <v>230</v>
      </c>
      <c r="C82" s="84">
        <f>('Financial Statements'!B62-'Financial Statements'!C62)/'Financial Statements'!C62</f>
        <v>7.8594551447872169E-2</v>
      </c>
      <c r="D82" s="84">
        <f>('Financial Statements'!C62-'Financial Statements'!D62)/'Financial Statements'!D62</f>
        <v>0.28680120974644779</v>
      </c>
      <c r="E82" s="84">
        <f>('Financial Statements'!D62-'Financial Statements'!E62)/'Financial Statements'!E62</f>
        <v>0.32122841848659245</v>
      </c>
      <c r="G82" s="75" t="s">
        <v>169</v>
      </c>
      <c r="O82" s="84">
        <f>(C82-E82)/E82</f>
        <v>-0.75533126297431685</v>
      </c>
      <c r="P82" s="84">
        <f>(C82-D82)/D82</f>
        <v>-0.72596157625222291</v>
      </c>
      <c r="Q82" s="84">
        <f>(D82-E82)/E82</f>
        <v>-0.10717360843209951</v>
      </c>
    </row>
    <row r="83" spans="2:17" x14ac:dyDescent="0.25">
      <c r="B83" s="82" t="s">
        <v>231</v>
      </c>
      <c r="C83" s="84">
        <f>('Financial Statements'!B63-'Financial Statements'!C63)/'Financial Statements'!C63</f>
        <v>0.37760544887575909</v>
      </c>
      <c r="D83" s="84">
        <f>('Financial Statements'!C63-'Financial Statements'!D63)/'Financial Statements'!D63</f>
        <v>0.53205934121196885</v>
      </c>
      <c r="E83" s="84">
        <f>('Financial Statements'!D63-'Financial Statements'!E63)/'Financial Statements'!E63</f>
        <v>0.35884513538908347</v>
      </c>
      <c r="G83" s="75" t="s">
        <v>169</v>
      </c>
      <c r="O83" s="84">
        <f>(C83-E83)/E83</f>
        <v>5.227969292751998E-2</v>
      </c>
      <c r="P83" s="84">
        <f>(C83-D83)/D83</f>
        <v>-0.2902944847925833</v>
      </c>
      <c r="Q83" s="84">
        <f>(D83-E83)/E83</f>
        <v>0.48269904964735039</v>
      </c>
    </row>
    <row r="84" spans="2:17" x14ac:dyDescent="0.25">
      <c r="B84" s="82" t="s">
        <v>232</v>
      </c>
      <c r="C84" s="84">
        <f>('Financial Statements'!B64-'Financial Statements'!C64)/'Financial Statements'!C64</f>
        <v>-0.10667005033202216</v>
      </c>
      <c r="D84" s="84">
        <f>('Financial Statements'!C64-'Financial Statements'!D64)/'Financial Statements'!D64</f>
        <v>0.38937533055180112</v>
      </c>
      <c r="E84" s="84">
        <f>('Financial Statements'!D64-'Financial Statements'!E64)/'Financial Statements'!E64</f>
        <v>0.39815955960890642</v>
      </c>
      <c r="G84" s="75" t="s">
        <v>169</v>
      </c>
      <c r="O84" s="84">
        <f>(C84-E84)/E84</f>
        <v>-1.2679077966551882</v>
      </c>
      <c r="P84" s="84">
        <f>(C84-D84)/D84</f>
        <v>-1.273951742604893</v>
      </c>
      <c r="Q84" s="84">
        <f>(D84-E84)/E84</f>
        <v>-2.2062082512180885E-2</v>
      </c>
    </row>
    <row r="85" spans="2:17" x14ac:dyDescent="0.25">
      <c r="B85" s="82"/>
      <c r="O85" s="84"/>
      <c r="P85" s="84"/>
      <c r="Q85" s="84"/>
    </row>
    <row r="86" spans="2:17" x14ac:dyDescent="0.25">
      <c r="B86" s="82" t="s">
        <v>236</v>
      </c>
      <c r="C86" s="84">
        <f>('Financial Statements'!B71-'Financial Statements'!C71)/'Financial Statements'!C71</f>
        <v>1.8867924528301886E-2</v>
      </c>
      <c r="D86" s="84">
        <f>('Financial Statements'!C71-'Financial Statements'!D71)/'Financial Statements'!D71</f>
        <v>20.2</v>
      </c>
      <c r="E86" s="84">
        <f>('Financial Statements'!D71-'Financial Statements'!E71)/'Financial Statements'!E71</f>
        <v>0</v>
      </c>
      <c r="G86" s="75" t="s">
        <v>169</v>
      </c>
      <c r="O86" s="94" t="s">
        <v>282</v>
      </c>
      <c r="P86" s="94">
        <f t="shared" ref="P85:P90" si="11">(C86-D86)/D86</f>
        <v>-0.99906594433028206</v>
      </c>
      <c r="Q86" s="94" t="s">
        <v>282</v>
      </c>
    </row>
    <row r="87" spans="2:17" x14ac:dyDescent="0.25">
      <c r="B87" s="82" t="s">
        <v>237</v>
      </c>
      <c r="C87" s="84">
        <f>('Financial Statements'!B72-'Financial Statements'!C72)/'Financial Statements'!C72</f>
        <v>3.2661948829613499</v>
      </c>
      <c r="D87" s="84">
        <f>('Financial Statements'!C72-'Financial Statements'!D72)/'Financial Statements'!D72</f>
        <v>0</v>
      </c>
      <c r="E87" s="84">
        <f>('Financial Statements'!D72-'Financial Statements'!E72)/'Financial Statements'!E72</f>
        <v>0</v>
      </c>
      <c r="G87" s="75" t="s">
        <v>169</v>
      </c>
      <c r="O87" s="94" t="s">
        <v>282</v>
      </c>
      <c r="P87" s="94" t="s">
        <v>282</v>
      </c>
      <c r="Q87" s="94" t="s">
        <v>282</v>
      </c>
    </row>
    <row r="88" spans="2:17" x14ac:dyDescent="0.25">
      <c r="B88" s="82" t="s">
        <v>238</v>
      </c>
      <c r="C88" s="84">
        <f>('Financial Statements'!B73-'Financial Statements'!C73)/'Financial Statements'!C73</f>
        <v>0.35407760160181828</v>
      </c>
      <c r="D88" s="84">
        <f>('Financial Statements'!C73-'Financial Statements'!D73)/'Financial Statements'!D73</f>
        <v>0.29329289630234456</v>
      </c>
      <c r="E88" s="84">
        <f>('Financial Statements'!D73-'Financial Statements'!E73)/'Financial Statements'!E73</f>
        <v>0.27354566522074991</v>
      </c>
      <c r="G88" s="75" t="s">
        <v>169</v>
      </c>
      <c r="O88" s="84">
        <f t="shared" ref="O85:O90" si="12">(C88-E88)/E88</f>
        <v>0.29440033829846846</v>
      </c>
      <c r="P88" s="84">
        <f t="shared" si="11"/>
        <v>0.20724915627282381</v>
      </c>
      <c r="Q88" s="84">
        <f t="shared" ref="Q85:Q90" si="13">(D88-E88)/E88</f>
        <v>7.2189888535278884E-2</v>
      </c>
    </row>
    <row r="89" spans="2:17" x14ac:dyDescent="0.25">
      <c r="B89" s="82" t="s">
        <v>239</v>
      </c>
      <c r="C89" s="84">
        <f>('Financial Statements'!B74-'Financial Statements'!C74)/'Financial Statements'!C74</f>
        <v>2.2609011627906979</v>
      </c>
      <c r="D89" s="84">
        <f>('Financial Statements'!C74-'Financial Statements'!D74)/'Financial Statements'!D74</f>
        <v>6.6444444444444448</v>
      </c>
      <c r="E89" s="84">
        <f>('Financial Statements'!D74-'Financial Statements'!E74)/'Financial Statements'!E74</f>
        <v>-0.81744421906693709</v>
      </c>
      <c r="G89" s="75" t="s">
        <v>169</v>
      </c>
      <c r="O89" s="84">
        <f t="shared" si="12"/>
        <v>-3.7658170552253449</v>
      </c>
      <c r="P89" s="84">
        <f t="shared" si="11"/>
        <v>-0.65973059422882474</v>
      </c>
      <c r="Q89" s="84">
        <f t="shared" si="13"/>
        <v>-9.1283154121863799</v>
      </c>
    </row>
    <row r="90" spans="2:17" x14ac:dyDescent="0.25">
      <c r="B90" s="82" t="s">
        <v>111</v>
      </c>
      <c r="C90" s="84">
        <f>('Financial Statements'!B75-'Financial Statements'!C75)/'Financial Statements'!C75</f>
        <v>-3.1682476866670549E-2</v>
      </c>
      <c r="D90" s="84">
        <f>('Financial Statements'!C75-'Financial Statements'!D75)/'Financial Statements'!D75</f>
        <v>0.63488801354874314</v>
      </c>
      <c r="E90" s="84">
        <f>('Financial Statements'!D75-'Financial Statements'!E75)/'Financial Statements'!E75</f>
        <v>0.68324791800128126</v>
      </c>
      <c r="G90" s="75" t="s">
        <v>169</v>
      </c>
      <c r="O90" s="84">
        <f t="shared" si="12"/>
        <v>-1.0463703965016855</v>
      </c>
      <c r="P90" s="84">
        <f t="shared" si="11"/>
        <v>-1.0499024649868243</v>
      </c>
      <c r="Q90" s="84">
        <f t="shared" si="13"/>
        <v>-7.0779439173420861E-2</v>
      </c>
    </row>
    <row r="91" spans="2:17" x14ac:dyDescent="0.25">
      <c r="B91" s="82"/>
      <c r="O91" s="84"/>
      <c r="P91" s="84"/>
      <c r="Q91" s="84"/>
    </row>
    <row r="92" spans="2:17" x14ac:dyDescent="0.25">
      <c r="B92" s="77" t="s">
        <v>199</v>
      </c>
    </row>
    <row r="93" spans="2:17" x14ac:dyDescent="0.25">
      <c r="B93" s="75" t="s">
        <v>200</v>
      </c>
      <c r="C93" s="84">
        <f>'Financial Statements'!B10/'Financial Statements'!B8</f>
        <v>0.56194660134673713</v>
      </c>
      <c r="D93" s="84">
        <f>'Financial Statements'!C10/'Financial Statements'!C8</f>
        <v>0.57967485558360399</v>
      </c>
      <c r="E93" s="84">
        <f>'Financial Statements'!D10/'Financial Statements'!D8</f>
        <v>0.60432208131294296</v>
      </c>
      <c r="G93" s="75" t="s">
        <v>169</v>
      </c>
      <c r="O93" s="84">
        <f>(C93-E93)/E93</f>
        <v>-7.0120687753360542E-2</v>
      </c>
      <c r="P93" s="84">
        <f>(C93-D93)/D93</f>
        <v>-3.0583100277859109E-2</v>
      </c>
      <c r="Q93" s="84">
        <f>(D93-E93)/E93</f>
        <v>-4.0784916671902344E-2</v>
      </c>
    </row>
    <row r="94" spans="2:17" x14ac:dyDescent="0.25">
      <c r="B94" s="75" t="s">
        <v>192</v>
      </c>
      <c r="C94" s="84">
        <f>'Financial Statements'!B11/'Financial Statements'!B8</f>
        <v>0.43805339865326287</v>
      </c>
      <c r="D94" s="84">
        <f>'Financial Statements'!C11/'Financial Statements'!C8</f>
        <v>0.42032514441639601</v>
      </c>
      <c r="E94" s="84">
        <f>'Financial Statements'!D11/'Financial Statements'!D8</f>
        <v>0.3956779186870571</v>
      </c>
      <c r="G94" s="75" t="s">
        <v>169</v>
      </c>
      <c r="O94" s="84">
        <f>(C94-E94)/E94</f>
        <v>0.10709589280801053</v>
      </c>
      <c r="P94" s="84">
        <f>(C94-D94)/D94</f>
        <v>4.2177477299108056E-2</v>
      </c>
      <c r="Q94" s="84">
        <f>(D94-E94)/E94</f>
        <v>6.2291132674584464E-2</v>
      </c>
    </row>
    <row r="95" spans="2:17" x14ac:dyDescent="0.25">
      <c r="B95" s="75" t="s">
        <v>267</v>
      </c>
      <c r="C95" s="84">
        <f>'Financial Statements'!B13/'Financial Statements'!B$8</f>
        <v>0.16401126107283703</v>
      </c>
      <c r="D95" s="84">
        <f>'Financial Statements'!C13/'Financial Statements'!C$8</f>
        <v>0.15987118525739535</v>
      </c>
      <c r="E95" s="84">
        <f>'Financial Statements'!D13/'Financial Statements'!D$8</f>
        <v>0.15157331426913673</v>
      </c>
      <c r="G95" s="75" t="s">
        <v>169</v>
      </c>
      <c r="O95" s="84">
        <f>(C95-E95)/E95</f>
        <v>8.2058948593122599E-2</v>
      </c>
      <c r="P95" s="84">
        <f>(C95-D95)/D95</f>
        <v>2.5896322772462631E-2</v>
      </c>
      <c r="Q95" s="84">
        <f>(D95-E95)/E95</f>
        <v>5.4744933356308055E-2</v>
      </c>
    </row>
    <row r="96" spans="2:17" x14ac:dyDescent="0.25">
      <c r="B96" s="75" t="s">
        <v>268</v>
      </c>
      <c r="C96" s="84">
        <f>'Financial Statements'!B14/'Financial Statements'!B$8</f>
        <v>0.14244245432241923</v>
      </c>
      <c r="D96" s="84">
        <f>'Financial Statements'!C14/'Financial Statements'!C$8</f>
        <v>0.11930475797216818</v>
      </c>
      <c r="E96" s="84">
        <f>'Financial Statements'!D14/'Financial Statements'!D$8</f>
        <v>0.11070703303079282</v>
      </c>
      <c r="G96" s="75" t="s">
        <v>169</v>
      </c>
      <c r="O96" s="84">
        <f>(C96-E96)/E96</f>
        <v>0.28666129353136305</v>
      </c>
      <c r="P96" s="84">
        <f>(C96-D96)/D96</f>
        <v>0.19393775020815759</v>
      </c>
      <c r="Q96" s="84">
        <f>(D96-E96)/E96</f>
        <v>7.7661957926231512E-2</v>
      </c>
    </row>
    <row r="97" spans="2:17" x14ac:dyDescent="0.25">
      <c r="B97" s="75" t="s">
        <v>269</v>
      </c>
      <c r="C97" s="84">
        <f>'Financial Statements'!B15/'Financial Statements'!B$8</f>
        <v>8.2177815219569517E-2</v>
      </c>
      <c r="D97" s="84">
        <f>'Financial Statements'!C15/'Financial Statements'!C$8</f>
        <v>6.9283686161993263E-2</v>
      </c>
      <c r="E97" s="84">
        <f>'Financial Statements'!D15/'Financial Statements'!D$8</f>
        <v>5.7006092254134028E-2</v>
      </c>
      <c r="G97" s="75" t="s">
        <v>169</v>
      </c>
      <c r="O97" s="84">
        <f>(C97-E97)/E97</f>
        <v>0.4415619799585554</v>
      </c>
      <c r="P97" s="84">
        <f>(C97-D97)/D97</f>
        <v>0.1861062794411413</v>
      </c>
      <c r="Q97" s="84">
        <f>(D97-E97)/E97</f>
        <v>0.21537336488748493</v>
      </c>
    </row>
    <row r="98" spans="2:17" x14ac:dyDescent="0.25">
      <c r="B98" s="75" t="s">
        <v>270</v>
      </c>
      <c r="C98" s="84">
        <f>'Financial Statements'!B16/'Financial Statements'!B$8</f>
        <v>2.3135006410717866E-2</v>
      </c>
      <c r="D98" s="84">
        <f>'Financial Statements'!C16/'Financial Statements'!C$8</f>
        <v>1.8779452643767215E-2</v>
      </c>
      <c r="E98" s="84">
        <f>'Financial Statements'!D16/'Financial Statements'!D$8</f>
        <v>1.7271747689502258E-2</v>
      </c>
      <c r="G98" s="75" t="s">
        <v>169</v>
      </c>
      <c r="O98" s="84">
        <f>(C98-E98)/E98</f>
        <v>0.33947107302750185</v>
      </c>
      <c r="P98" s="84">
        <f>(C98-D98)/D98</f>
        <v>0.23193188052774436</v>
      </c>
      <c r="Q98" s="84">
        <f>(D98-E98)/E98</f>
        <v>8.7293132193063366E-2</v>
      </c>
    </row>
    <row r="99" spans="2:17" x14ac:dyDescent="0.25">
      <c r="B99" s="75" t="s">
        <v>213</v>
      </c>
      <c r="C99" s="84">
        <f>'Financial Statements'!B17/'Financial Statements'!B$8</f>
        <v>2.4572797154769712E-3</v>
      </c>
      <c r="D99" s="84">
        <f>'Financial Statements'!C17/'Financial Statements'!C$8</f>
        <v>1.3196487180251244E-4</v>
      </c>
      <c r="E99" s="84">
        <f>'Financial Statements'!D17/'Financial Statements'!D$8</f>
        <v>-1.9426830784533136E-4</v>
      </c>
      <c r="G99" s="75" t="s">
        <v>169</v>
      </c>
      <c r="O99" s="84">
        <f>(C99-E99)/E99</f>
        <v>-13.648896481012018</v>
      </c>
      <c r="P99" s="84">
        <f>(C99-D99)/D99</f>
        <v>17.620710814271316</v>
      </c>
      <c r="Q99" s="84">
        <f>(D99-E99)/E99</f>
        <v>-1.6792918169008688</v>
      </c>
    </row>
    <row r="100" spans="2:17" x14ac:dyDescent="0.25">
      <c r="B100" s="75" t="s">
        <v>201</v>
      </c>
      <c r="C100" s="84">
        <f>'Financial Statements'!B19/'Financial Statements'!B8</f>
        <v>2.3829581912242232E-2</v>
      </c>
      <c r="D100" s="84">
        <f>'Financial Statements'!C19/'Financial Statements'!C8</f>
        <v>5.2954097509269465E-2</v>
      </c>
      <c r="E100" s="84">
        <f>'Financial Statements'!D19/'Financial Statements'!D8</f>
        <v>5.9313999751336569E-2</v>
      </c>
      <c r="G100" s="75" t="s">
        <v>169</v>
      </c>
      <c r="O100" s="84">
        <f>(C100-E100)/E100</f>
        <v>-0.59824692295000292</v>
      </c>
      <c r="P100" s="84">
        <f>(C100-D100)/D100</f>
        <v>-0.54999550491685878</v>
      </c>
      <c r="Q100" s="84">
        <f>(D100-E100)/E100</f>
        <v>-0.10722430233553404</v>
      </c>
    </row>
    <row r="101" spans="2:17" x14ac:dyDescent="0.25">
      <c r="B101" s="75" t="s">
        <v>202</v>
      </c>
      <c r="C101" s="84">
        <f>'Financial Statements'!B27/'Financial Statements'!B8</f>
        <v>-5.2958950004183018E-3</v>
      </c>
      <c r="D101" s="84">
        <f>'Financial Statements'!C27/'Financial Statements'!C8</f>
        <v>7.1014128755145567E-2</v>
      </c>
      <c r="E101" s="84">
        <f>'Financial Statements'!D27/'Financial Statements'!D8</f>
        <v>5.5252496995316841E-2</v>
      </c>
      <c r="G101" s="75" t="s">
        <v>169</v>
      </c>
      <c r="O101" s="84">
        <f>(C101-E101)/E101</f>
        <v>-1.095848971330059</v>
      </c>
      <c r="P101" s="84">
        <f>(C101-D101)/D101</f>
        <v>-1.0745752302147982</v>
      </c>
      <c r="Q101" s="84">
        <f>(D101-E101)/E101</f>
        <v>0.28526551046488757</v>
      </c>
    </row>
    <row r="102" spans="2:17" x14ac:dyDescent="0.25">
      <c r="O102" s="84"/>
      <c r="P102" s="84"/>
      <c r="Q102" s="84"/>
    </row>
    <row r="103" spans="2:17" ht="58.5" customHeight="1" x14ac:dyDescent="0.25">
      <c r="B103" s="95" t="s">
        <v>203</v>
      </c>
      <c r="C103" s="70">
        <v>0</v>
      </c>
      <c r="D103" s="84">
        <f>-'Financial Statements'!C25/'Financial Statements'!C24</f>
        <v>0.12557993237398757</v>
      </c>
      <c r="E103" s="84">
        <f>-'Financial Statements'!D25/'Financial Statements'!D24</f>
        <v>0.1184134337000579</v>
      </c>
      <c r="G103" s="75" t="s">
        <v>169</v>
      </c>
      <c r="I103" s="71" t="s">
        <v>278</v>
      </c>
      <c r="J103" s="71"/>
      <c r="K103" s="71"/>
      <c r="L103" s="71"/>
      <c r="M103" s="71"/>
      <c r="O103" s="84">
        <f t="shared" ref="O70:O105" si="14">(C103-E103)/E103</f>
        <v>-1</v>
      </c>
      <c r="P103" s="84">
        <f t="shared" ref="P70:P105" si="15">(C103-D103)/D103</f>
        <v>-1</v>
      </c>
      <c r="Q103" s="84">
        <f t="shared" ref="Q70:Q105" si="16">(D103-E103)/E103</f>
        <v>6.0520993691327823E-2</v>
      </c>
    </row>
    <row r="104" spans="2:17" x14ac:dyDescent="0.25">
      <c r="B104" s="75" t="s">
        <v>204</v>
      </c>
      <c r="C104" s="84">
        <f>-'Financial Statements'!B99/'Financial Statements'!B8</f>
        <v>0.12382705264571008</v>
      </c>
      <c r="D104" s="84">
        <f>-'Financial Statements'!C99/'Financial Statements'!C8</f>
        <v>0.12994921480901278</v>
      </c>
      <c r="E104" s="84">
        <f>-'Financial Statements'!D99/'Financial Statements'!D8</f>
        <v>0.10397239835882134</v>
      </c>
      <c r="G104" s="75" t="s">
        <v>169</v>
      </c>
      <c r="O104" s="84">
        <f t="shared" si="14"/>
        <v>0.19096081845075766</v>
      </c>
      <c r="P104" s="84">
        <f t="shared" si="15"/>
        <v>-4.7111959639775332E-2</v>
      </c>
      <c r="Q104" s="84">
        <f t="shared" si="16"/>
        <v>0.24984338978641524</v>
      </c>
    </row>
    <row r="105" spans="2:17" x14ac:dyDescent="0.25">
      <c r="B105" s="75" t="s">
        <v>205</v>
      </c>
      <c r="C105" s="84">
        <f>-'Financial Statements'!B99/'Financial Statements'!B49</f>
        <v>0.34086709691240663</v>
      </c>
      <c r="D105" s="84">
        <f>-'Financial Statements'!C99/'Financial Statements'!C49</f>
        <v>0.38091227282085838</v>
      </c>
      <c r="E105" s="84">
        <f>-'Financial Statements'!D99/'Financial Statements'!D49</f>
        <v>0.35486323532011954</v>
      </c>
      <c r="G105" s="75" t="s">
        <v>169</v>
      </c>
      <c r="O105" s="84">
        <f t="shared" si="14"/>
        <v>-3.9440936717738864E-2</v>
      </c>
      <c r="P105" s="84">
        <f t="shared" si="15"/>
        <v>-0.10512965521403624</v>
      </c>
      <c r="Q105" s="84">
        <f t="shared" si="16"/>
        <v>7.340585022069189E-2</v>
      </c>
    </row>
  </sheetData>
  <mergeCells count="3">
    <mergeCell ref="C2:E2"/>
    <mergeCell ref="I20:M21"/>
    <mergeCell ref="I103:M10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DF446-A06A-4606-B45F-915861E0D0C9}">
  <dimension ref="A1:L119"/>
  <sheetViews>
    <sheetView topLeftCell="A106" workbookViewId="0">
      <selection activeCell="D94" sqref="D94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  <col min="5" max="5" width="10.85546875" style="28" customWidth="1"/>
    <col min="10" max="10" width="18.5703125" bestFit="1" customWidth="1"/>
    <col min="11" max="11" width="17.85546875" bestFit="1" customWidth="1"/>
    <col min="12" max="12" width="16.7109375" bestFit="1" customWidth="1"/>
  </cols>
  <sheetData>
    <row r="1" spans="1:10" ht="60" customHeight="1" x14ac:dyDescent="0.25">
      <c r="A1" s="7" t="s">
        <v>62</v>
      </c>
      <c r="B1" s="8" t="s">
        <v>9</v>
      </c>
      <c r="C1" s="8"/>
      <c r="D1" s="8"/>
      <c r="E1" s="27"/>
      <c r="F1" s="8"/>
      <c r="G1" s="8"/>
      <c r="H1" s="8"/>
      <c r="I1" s="8"/>
      <c r="J1" s="8"/>
    </row>
    <row r="2" spans="1:10" x14ac:dyDescent="0.25">
      <c r="A2" s="25" t="s">
        <v>10</v>
      </c>
      <c r="B2" s="25"/>
      <c r="C2" s="25"/>
      <c r="D2" s="25"/>
    </row>
    <row r="3" spans="1:10" x14ac:dyDescent="0.25">
      <c r="B3" s="24" t="s">
        <v>63</v>
      </c>
      <c r="C3" s="24"/>
      <c r="D3" s="24"/>
      <c r="E3" s="28" t="s">
        <v>64</v>
      </c>
    </row>
    <row r="4" spans="1:10" x14ac:dyDescent="0.25">
      <c r="B4" s="9">
        <v>2022</v>
      </c>
      <c r="C4" s="9">
        <v>2021</v>
      </c>
      <c r="D4" s="9">
        <v>2020</v>
      </c>
      <c r="E4" s="29">
        <v>2019</v>
      </c>
    </row>
    <row r="5" spans="1:10" x14ac:dyDescent="0.25">
      <c r="A5" t="s">
        <v>65</v>
      </c>
    </row>
    <row r="6" spans="1:10" x14ac:dyDescent="0.25">
      <c r="A6" s="1" t="s">
        <v>66</v>
      </c>
      <c r="B6" s="10">
        <v>316199</v>
      </c>
      <c r="C6" s="10">
        <v>297392</v>
      </c>
      <c r="D6" s="10">
        <v>220747</v>
      </c>
      <c r="E6" s="30">
        <v>213883</v>
      </c>
    </row>
    <row r="7" spans="1:10" x14ac:dyDescent="0.25">
      <c r="A7" s="1" t="s">
        <v>67</v>
      </c>
      <c r="B7" s="10">
        <v>78129</v>
      </c>
      <c r="C7" s="10">
        <v>68425</v>
      </c>
      <c r="D7" s="10">
        <v>53768</v>
      </c>
      <c r="E7" s="30">
        <v>46291</v>
      </c>
    </row>
    <row r="8" spans="1:10" x14ac:dyDescent="0.25">
      <c r="A8" s="11" t="s">
        <v>68</v>
      </c>
      <c r="B8" s="12">
        <f>+B6+B7</f>
        <v>394328</v>
      </c>
      <c r="C8" s="12">
        <f t="shared" ref="C8:E8" si="0">+C6+C7</f>
        <v>365817</v>
      </c>
      <c r="D8" s="12">
        <f t="shared" si="0"/>
        <v>274515</v>
      </c>
      <c r="E8" s="31">
        <f t="shared" si="0"/>
        <v>260174</v>
      </c>
    </row>
    <row r="9" spans="1:10" x14ac:dyDescent="0.25">
      <c r="A9" t="s">
        <v>69</v>
      </c>
      <c r="B9" s="10"/>
      <c r="C9" s="10"/>
      <c r="D9" s="10"/>
      <c r="E9" s="30"/>
    </row>
    <row r="10" spans="1:10" x14ac:dyDescent="0.25">
      <c r="A10" s="1" t="s">
        <v>66</v>
      </c>
      <c r="B10" s="10">
        <v>201471</v>
      </c>
      <c r="C10" s="10">
        <v>192266</v>
      </c>
      <c r="D10" s="10">
        <v>151286</v>
      </c>
      <c r="E10" s="30">
        <v>144996</v>
      </c>
    </row>
    <row r="11" spans="1:10" x14ac:dyDescent="0.25">
      <c r="A11" s="1" t="s">
        <v>67</v>
      </c>
      <c r="B11" s="10">
        <v>22075</v>
      </c>
      <c r="C11" s="10">
        <v>20715</v>
      </c>
      <c r="D11" s="10">
        <v>18273</v>
      </c>
      <c r="E11" s="30">
        <v>16786</v>
      </c>
    </row>
    <row r="12" spans="1:10" x14ac:dyDescent="0.25">
      <c r="A12" s="11" t="s">
        <v>70</v>
      </c>
      <c r="B12" s="12">
        <f>+B10+B11</f>
        <v>223546</v>
      </c>
      <c r="C12" s="12">
        <f t="shared" ref="C12:E12" si="1">+C10+C11</f>
        <v>212981</v>
      </c>
      <c r="D12" s="12">
        <f t="shared" si="1"/>
        <v>169559</v>
      </c>
      <c r="E12" s="31">
        <f t="shared" si="1"/>
        <v>161782</v>
      </c>
    </row>
    <row r="13" spans="1:10" x14ac:dyDescent="0.25">
      <c r="A13" s="11" t="s">
        <v>11</v>
      </c>
      <c r="B13" s="12">
        <f>+B8-B12</f>
        <v>170782</v>
      </c>
      <c r="C13" s="12">
        <f t="shared" ref="C13:E13" si="2">+C8-C12</f>
        <v>152836</v>
      </c>
      <c r="D13" s="12">
        <f t="shared" si="2"/>
        <v>104956</v>
      </c>
      <c r="E13" s="31">
        <f t="shared" si="2"/>
        <v>98392</v>
      </c>
    </row>
    <row r="14" spans="1:10" x14ac:dyDescent="0.25">
      <c r="A14" t="s">
        <v>71</v>
      </c>
      <c r="B14" s="10"/>
      <c r="C14" s="10"/>
      <c r="D14" s="10"/>
      <c r="E14" s="30"/>
    </row>
    <row r="15" spans="1:10" x14ac:dyDescent="0.25">
      <c r="A15" s="1" t="s">
        <v>72</v>
      </c>
      <c r="B15" s="10">
        <v>26251</v>
      </c>
      <c r="C15" s="10">
        <v>21914</v>
      </c>
      <c r="D15" s="10">
        <v>18752</v>
      </c>
      <c r="E15" s="30">
        <v>16217</v>
      </c>
    </row>
    <row r="16" spans="1:10" x14ac:dyDescent="0.25">
      <c r="A16" s="1" t="s">
        <v>73</v>
      </c>
      <c r="B16" s="10">
        <v>25094</v>
      </c>
      <c r="C16" s="10">
        <v>21973</v>
      </c>
      <c r="D16" s="10">
        <v>19916</v>
      </c>
      <c r="E16" s="30">
        <v>18245</v>
      </c>
    </row>
    <row r="17" spans="1:5" x14ac:dyDescent="0.25">
      <c r="A17" s="11" t="s">
        <v>74</v>
      </c>
      <c r="B17" s="12">
        <f>+B15+B16</f>
        <v>51345</v>
      </c>
      <c r="C17" s="12">
        <f t="shared" ref="C17:E17" si="3">+C15+C16</f>
        <v>43887</v>
      </c>
      <c r="D17" s="12">
        <f t="shared" si="3"/>
        <v>38668</v>
      </c>
      <c r="E17" s="31">
        <f t="shared" si="3"/>
        <v>34462</v>
      </c>
    </row>
    <row r="18" spans="1:5" s="9" customFormat="1" x14ac:dyDescent="0.25">
      <c r="A18" s="11" t="s">
        <v>75</v>
      </c>
      <c r="B18" s="12">
        <f>+B13-B17</f>
        <v>119437</v>
      </c>
      <c r="C18" s="12">
        <f t="shared" ref="C18:E18" si="4">+C13-C17</f>
        <v>108949</v>
      </c>
      <c r="D18" s="12">
        <f t="shared" si="4"/>
        <v>66288</v>
      </c>
      <c r="E18" s="31">
        <f t="shared" si="4"/>
        <v>63930</v>
      </c>
    </row>
    <row r="19" spans="1:5" x14ac:dyDescent="0.25">
      <c r="A19" t="s">
        <v>76</v>
      </c>
      <c r="B19" s="10">
        <v>-334</v>
      </c>
      <c r="C19" s="10">
        <v>258</v>
      </c>
      <c r="D19" s="10">
        <v>803</v>
      </c>
      <c r="E19" s="30">
        <v>1807</v>
      </c>
    </row>
    <row r="20" spans="1:5" x14ac:dyDescent="0.25">
      <c r="A20" s="11" t="s">
        <v>77</v>
      </c>
      <c r="B20" s="12">
        <f>+B18+B19</f>
        <v>119103</v>
      </c>
      <c r="C20" s="12">
        <f t="shared" ref="C20:E20" si="5">+C18+C19</f>
        <v>109207</v>
      </c>
      <c r="D20" s="12">
        <f t="shared" si="5"/>
        <v>67091</v>
      </c>
      <c r="E20" s="31">
        <f t="shared" si="5"/>
        <v>65737</v>
      </c>
    </row>
    <row r="21" spans="1:5" x14ac:dyDescent="0.25">
      <c r="A21" t="s">
        <v>78</v>
      </c>
      <c r="B21" s="10">
        <v>19300</v>
      </c>
      <c r="C21" s="10">
        <v>14527</v>
      </c>
      <c r="D21" s="10">
        <v>9680</v>
      </c>
      <c r="E21" s="30">
        <v>10481</v>
      </c>
    </row>
    <row r="22" spans="1:5" ht="15.75" thickBot="1" x14ac:dyDescent="0.3">
      <c r="A22" s="13" t="s">
        <v>79</v>
      </c>
      <c r="B22" s="14">
        <f>+B20-B21</f>
        <v>99803</v>
      </c>
      <c r="C22" s="14">
        <f t="shared" ref="C22:E22" si="6">+C20-C21</f>
        <v>94680</v>
      </c>
      <c r="D22" s="14">
        <f t="shared" si="6"/>
        <v>57411</v>
      </c>
      <c r="E22" s="32">
        <f t="shared" si="6"/>
        <v>55256</v>
      </c>
    </row>
    <row r="23" spans="1:5" ht="15.75" thickTop="1" x14ac:dyDescent="0.25">
      <c r="A23" t="s">
        <v>80</v>
      </c>
    </row>
    <row r="24" spans="1:5" x14ac:dyDescent="0.25">
      <c r="A24" s="1" t="s">
        <v>81</v>
      </c>
      <c r="B24" s="15">
        <v>6.15</v>
      </c>
      <c r="C24" s="15">
        <v>5.67</v>
      </c>
      <c r="D24" s="15">
        <v>3.31</v>
      </c>
      <c r="E24" s="33">
        <v>2.99</v>
      </c>
    </row>
    <row r="25" spans="1:5" x14ac:dyDescent="0.25">
      <c r="A25" s="1" t="s">
        <v>82</v>
      </c>
      <c r="B25" s="15">
        <v>6.11</v>
      </c>
      <c r="C25" s="15">
        <v>5.61</v>
      </c>
      <c r="D25" s="15">
        <v>3.28</v>
      </c>
      <c r="E25" s="33">
        <v>2.97</v>
      </c>
    </row>
    <row r="26" spans="1:5" x14ac:dyDescent="0.25">
      <c r="A26" t="s">
        <v>83</v>
      </c>
    </row>
    <row r="27" spans="1:5" x14ac:dyDescent="0.25">
      <c r="A27" s="1" t="s">
        <v>81</v>
      </c>
      <c r="B27" s="16">
        <v>16215963</v>
      </c>
      <c r="C27" s="16">
        <v>16701272</v>
      </c>
      <c r="D27" s="16">
        <v>17352119</v>
      </c>
      <c r="E27" s="34">
        <v>18471336</v>
      </c>
    </row>
    <row r="28" spans="1:5" x14ac:dyDescent="0.25">
      <c r="A28" s="1" t="s">
        <v>82</v>
      </c>
      <c r="B28" s="16">
        <v>16325819</v>
      </c>
      <c r="C28" s="16">
        <v>16864919</v>
      </c>
      <c r="D28" s="16">
        <v>17528214</v>
      </c>
      <c r="E28" s="34">
        <v>18595651</v>
      </c>
    </row>
    <row r="31" spans="1:5" x14ac:dyDescent="0.25">
      <c r="A31" s="25" t="s">
        <v>12</v>
      </c>
      <c r="B31" s="25"/>
      <c r="C31" s="25"/>
      <c r="D31" s="25"/>
    </row>
    <row r="32" spans="1:5" x14ac:dyDescent="0.25">
      <c r="B32" s="24" t="s">
        <v>84</v>
      </c>
      <c r="C32" s="24"/>
      <c r="D32" s="24"/>
      <c r="E32" s="28" t="s">
        <v>64</v>
      </c>
    </row>
    <row r="33" spans="1:10" x14ac:dyDescent="0.25">
      <c r="B33" s="9">
        <f>+B4</f>
        <v>2022</v>
      </c>
      <c r="C33" s="9">
        <f t="shared" ref="C33:D33" si="7">+C4</f>
        <v>2021</v>
      </c>
      <c r="D33" s="9">
        <f t="shared" si="7"/>
        <v>2020</v>
      </c>
      <c r="E33" s="29">
        <v>2019</v>
      </c>
    </row>
    <row r="35" spans="1:10" x14ac:dyDescent="0.25">
      <c r="A35" t="s">
        <v>85</v>
      </c>
    </row>
    <row r="36" spans="1:10" x14ac:dyDescent="0.25">
      <c r="A36" s="1" t="s">
        <v>86</v>
      </c>
      <c r="B36" s="10">
        <v>23646</v>
      </c>
      <c r="C36" s="10">
        <v>34940</v>
      </c>
      <c r="D36" s="10">
        <v>38016</v>
      </c>
      <c r="E36" s="30">
        <v>48844</v>
      </c>
    </row>
    <row r="37" spans="1:10" x14ac:dyDescent="0.25">
      <c r="A37" s="1" t="s">
        <v>87</v>
      </c>
      <c r="B37" s="10">
        <v>24658</v>
      </c>
      <c r="C37" s="10">
        <v>27699</v>
      </c>
      <c r="D37" s="10">
        <v>52927</v>
      </c>
      <c r="E37" s="30">
        <v>51713</v>
      </c>
    </row>
    <row r="38" spans="1:10" x14ac:dyDescent="0.25">
      <c r="A38" s="1" t="s">
        <v>88</v>
      </c>
      <c r="B38" s="10">
        <v>28184</v>
      </c>
      <c r="C38" s="10">
        <v>26278</v>
      </c>
      <c r="D38" s="10">
        <v>16120</v>
      </c>
      <c r="E38" s="30">
        <v>22926</v>
      </c>
    </row>
    <row r="39" spans="1:10" x14ac:dyDescent="0.25">
      <c r="A39" s="1" t="s">
        <v>89</v>
      </c>
      <c r="B39" s="10">
        <v>4946</v>
      </c>
      <c r="C39" s="10">
        <v>6580</v>
      </c>
      <c r="D39" s="10">
        <v>4061</v>
      </c>
      <c r="E39" s="30">
        <v>4106</v>
      </c>
    </row>
    <row r="40" spans="1:10" x14ac:dyDescent="0.25">
      <c r="A40" s="1" t="s">
        <v>90</v>
      </c>
      <c r="B40" s="10">
        <v>32748</v>
      </c>
      <c r="C40" s="10">
        <v>25228</v>
      </c>
      <c r="D40" s="10">
        <v>21325</v>
      </c>
      <c r="E40" s="30">
        <v>22878</v>
      </c>
    </row>
    <row r="41" spans="1:10" x14ac:dyDescent="0.25">
      <c r="A41" s="1" t="s">
        <v>91</v>
      </c>
      <c r="B41" s="10">
        <v>21223</v>
      </c>
      <c r="C41" s="10">
        <v>14111</v>
      </c>
      <c r="D41" s="10">
        <v>11264</v>
      </c>
      <c r="E41" s="30">
        <v>12352</v>
      </c>
    </row>
    <row r="42" spans="1:10" x14ac:dyDescent="0.25">
      <c r="A42" s="11" t="s">
        <v>92</v>
      </c>
      <c r="B42" s="12">
        <f>+SUM(B36:B41)</f>
        <v>135405</v>
      </c>
      <c r="C42" s="12">
        <f t="shared" ref="C42:D42" si="8">+SUM(C36:C41)</f>
        <v>134836</v>
      </c>
      <c r="D42" s="12">
        <f t="shared" si="8"/>
        <v>143713</v>
      </c>
      <c r="E42" s="31">
        <f t="shared" ref="E42" si="9">+SUM(E36:E41)</f>
        <v>162819</v>
      </c>
    </row>
    <row r="43" spans="1:10" x14ac:dyDescent="0.25">
      <c r="A43" t="s">
        <v>93</v>
      </c>
      <c r="B43" s="10"/>
      <c r="C43" s="10"/>
      <c r="D43" s="10"/>
      <c r="E43" s="30"/>
    </row>
    <row r="44" spans="1:10" x14ac:dyDescent="0.25">
      <c r="A44" s="1" t="s">
        <v>87</v>
      </c>
      <c r="B44" s="10">
        <v>120805</v>
      </c>
      <c r="C44" s="10">
        <v>127877</v>
      </c>
      <c r="D44" s="10">
        <v>100887</v>
      </c>
      <c r="E44" s="30">
        <v>105341</v>
      </c>
      <c r="I44" s="35"/>
      <c r="J44" s="35"/>
    </row>
    <row r="45" spans="1:10" x14ac:dyDescent="0.25">
      <c r="A45" s="1" t="s">
        <v>94</v>
      </c>
      <c r="B45" s="10">
        <v>42117</v>
      </c>
      <c r="C45" s="10">
        <v>39440</v>
      </c>
      <c r="D45" s="10">
        <v>36766</v>
      </c>
      <c r="E45" s="30">
        <v>37378</v>
      </c>
    </row>
    <row r="46" spans="1:10" x14ac:dyDescent="0.25">
      <c r="A46" s="1" t="s">
        <v>95</v>
      </c>
      <c r="B46" s="10">
        <v>54428</v>
      </c>
      <c r="C46" s="10">
        <v>48849</v>
      </c>
      <c r="D46" s="10">
        <v>42522</v>
      </c>
      <c r="E46" s="30">
        <v>32978</v>
      </c>
    </row>
    <row r="47" spans="1:10" x14ac:dyDescent="0.25">
      <c r="A47" s="11" t="s">
        <v>96</v>
      </c>
      <c r="B47" s="12">
        <f>+SUM(B44:B46)</f>
        <v>217350</v>
      </c>
      <c r="C47" s="12">
        <f t="shared" ref="C47:E47" si="10">+SUM(C44:C46)</f>
        <v>216166</v>
      </c>
      <c r="D47" s="12">
        <f t="shared" si="10"/>
        <v>180175</v>
      </c>
      <c r="E47" s="31">
        <f t="shared" si="10"/>
        <v>175697</v>
      </c>
    </row>
    <row r="48" spans="1:10" ht="15.75" thickBot="1" x14ac:dyDescent="0.3">
      <c r="A48" s="13" t="s">
        <v>97</v>
      </c>
      <c r="B48" s="14">
        <f>+B42+B47</f>
        <v>352755</v>
      </c>
      <c r="C48" s="14">
        <f t="shared" ref="C48:E48" si="11">+C42+C47</f>
        <v>351002</v>
      </c>
      <c r="D48" s="14">
        <f t="shared" si="11"/>
        <v>323888</v>
      </c>
      <c r="E48" s="32">
        <f t="shared" si="11"/>
        <v>338516</v>
      </c>
    </row>
    <row r="49" spans="1:5" ht="15.75" thickTop="1" x14ac:dyDescent="0.25"/>
    <row r="50" spans="1:5" x14ac:dyDescent="0.25">
      <c r="A50" t="s">
        <v>98</v>
      </c>
    </row>
    <row r="51" spans="1:5" x14ac:dyDescent="0.25">
      <c r="A51" s="1" t="s">
        <v>99</v>
      </c>
      <c r="B51" s="10">
        <v>64115</v>
      </c>
      <c r="C51" s="10">
        <v>54763</v>
      </c>
      <c r="D51" s="10">
        <v>42296</v>
      </c>
      <c r="E51" s="30">
        <v>46236</v>
      </c>
    </row>
    <row r="52" spans="1:5" x14ac:dyDescent="0.25">
      <c r="A52" s="1" t="s">
        <v>100</v>
      </c>
      <c r="B52" s="10">
        <v>60845</v>
      </c>
      <c r="C52" s="10">
        <v>47493</v>
      </c>
      <c r="D52" s="10">
        <v>42684</v>
      </c>
      <c r="E52" s="30">
        <v>37720</v>
      </c>
    </row>
    <row r="53" spans="1:5" x14ac:dyDescent="0.25">
      <c r="A53" s="1" t="s">
        <v>101</v>
      </c>
      <c r="B53" s="10">
        <v>7912</v>
      </c>
      <c r="C53" s="10">
        <v>7612</v>
      </c>
      <c r="D53" s="10">
        <v>6643</v>
      </c>
      <c r="E53" s="30">
        <v>5522</v>
      </c>
    </row>
    <row r="54" spans="1:5" x14ac:dyDescent="0.25">
      <c r="A54" s="1" t="s">
        <v>102</v>
      </c>
      <c r="B54" s="10">
        <v>9982</v>
      </c>
      <c r="C54" s="10">
        <v>6000</v>
      </c>
      <c r="D54" s="10">
        <v>4996</v>
      </c>
      <c r="E54" s="30">
        <v>5980</v>
      </c>
    </row>
    <row r="55" spans="1:5" x14ac:dyDescent="0.25">
      <c r="A55" s="1" t="s">
        <v>103</v>
      </c>
      <c r="B55" s="10">
        <v>11128</v>
      </c>
      <c r="C55" s="10">
        <v>9613</v>
      </c>
      <c r="D55" s="10">
        <v>8773</v>
      </c>
      <c r="E55" s="30">
        <v>10260</v>
      </c>
    </row>
    <row r="56" spans="1:5" x14ac:dyDescent="0.25">
      <c r="A56" s="11" t="s">
        <v>104</v>
      </c>
      <c r="B56" s="12">
        <f>+SUM(B51:B55)</f>
        <v>153982</v>
      </c>
      <c r="C56" s="12">
        <f t="shared" ref="C56:E56" si="12">+SUM(C51:C55)</f>
        <v>125481</v>
      </c>
      <c r="D56" s="12">
        <f t="shared" si="12"/>
        <v>105392</v>
      </c>
      <c r="E56" s="31">
        <f t="shared" si="12"/>
        <v>105718</v>
      </c>
    </row>
    <row r="57" spans="1:5" x14ac:dyDescent="0.25">
      <c r="A57" t="s">
        <v>105</v>
      </c>
      <c r="B57" s="10"/>
      <c r="C57" s="10"/>
      <c r="D57" s="10"/>
      <c r="E57" s="30"/>
    </row>
    <row r="58" spans="1:5" x14ac:dyDescent="0.25">
      <c r="A58" s="1" t="s">
        <v>101</v>
      </c>
      <c r="B58" s="10"/>
      <c r="C58" s="10"/>
      <c r="D58" s="10"/>
      <c r="E58" s="30"/>
    </row>
    <row r="59" spans="1:5" x14ac:dyDescent="0.25">
      <c r="A59" s="1" t="s">
        <v>103</v>
      </c>
      <c r="B59" s="10">
        <v>98959</v>
      </c>
      <c r="C59" s="10">
        <v>109106</v>
      </c>
      <c r="D59" s="10">
        <v>98667</v>
      </c>
      <c r="E59" s="30">
        <v>91807</v>
      </c>
    </row>
    <row r="60" spans="1:5" x14ac:dyDescent="0.25">
      <c r="A60" s="1" t="s">
        <v>106</v>
      </c>
      <c r="B60" s="10">
        <v>49142</v>
      </c>
      <c r="C60" s="10">
        <v>53325</v>
      </c>
      <c r="D60" s="10">
        <v>54490</v>
      </c>
      <c r="E60" s="30">
        <v>50503</v>
      </c>
    </row>
    <row r="61" spans="1:5" x14ac:dyDescent="0.25">
      <c r="A61" s="36" t="s">
        <v>107</v>
      </c>
      <c r="B61" s="37">
        <f>+B59+B60</f>
        <v>148101</v>
      </c>
      <c r="C61" s="37">
        <f t="shared" ref="C61:E61" si="13">+C59+C60</f>
        <v>162431</v>
      </c>
      <c r="D61" s="37">
        <f t="shared" si="13"/>
        <v>153157</v>
      </c>
      <c r="E61" s="38">
        <f t="shared" si="13"/>
        <v>142310</v>
      </c>
    </row>
    <row r="62" spans="1:5" x14ac:dyDescent="0.25">
      <c r="A62" s="11" t="s">
        <v>108</v>
      </c>
      <c r="B62" s="12">
        <f>+B56+B61</f>
        <v>302083</v>
      </c>
      <c r="C62" s="12">
        <f t="shared" ref="C62:E62" si="14">+C56+C61</f>
        <v>287912</v>
      </c>
      <c r="D62" s="12">
        <f t="shared" si="14"/>
        <v>258549</v>
      </c>
      <c r="E62" s="31">
        <f t="shared" si="14"/>
        <v>248028</v>
      </c>
    </row>
    <row r="63" spans="1:5" x14ac:dyDescent="0.25">
      <c r="B63" s="10"/>
      <c r="C63" s="10"/>
      <c r="D63" s="10"/>
      <c r="E63" s="30"/>
    </row>
    <row r="64" spans="1:5" x14ac:dyDescent="0.25">
      <c r="A64" t="s">
        <v>109</v>
      </c>
      <c r="B64" s="10"/>
      <c r="C64" s="10"/>
      <c r="D64" s="10"/>
      <c r="E64" s="30"/>
    </row>
    <row r="65" spans="1:12" x14ac:dyDescent="0.25">
      <c r="A65" s="1" t="s">
        <v>110</v>
      </c>
      <c r="B65" s="10">
        <v>64849</v>
      </c>
      <c r="C65" s="10">
        <v>57365</v>
      </c>
      <c r="D65" s="10">
        <v>50779</v>
      </c>
      <c r="E65" s="30">
        <v>45174</v>
      </c>
    </row>
    <row r="66" spans="1:12" x14ac:dyDescent="0.25">
      <c r="A66" s="1" t="s">
        <v>111</v>
      </c>
      <c r="B66" s="10">
        <v>-3068</v>
      </c>
      <c r="C66" s="10">
        <v>5562</v>
      </c>
      <c r="D66" s="10">
        <v>14966</v>
      </c>
      <c r="E66" s="30">
        <v>45898</v>
      </c>
    </row>
    <row r="67" spans="1:12" x14ac:dyDescent="0.25">
      <c r="A67" s="1" t="s">
        <v>112</v>
      </c>
      <c r="B67" s="10">
        <v>-11109</v>
      </c>
      <c r="C67" s="10">
        <v>163</v>
      </c>
      <c r="D67" s="10">
        <v>-406</v>
      </c>
      <c r="E67" s="30">
        <v>-584</v>
      </c>
    </row>
    <row r="68" spans="1:12" x14ac:dyDescent="0.25">
      <c r="A68" s="11" t="s">
        <v>113</v>
      </c>
      <c r="B68" s="12">
        <f>+SUM(B65:B67)</f>
        <v>50672</v>
      </c>
      <c r="C68" s="12">
        <f t="shared" ref="C68:E68" si="15">+SUM(C65:C67)</f>
        <v>63090</v>
      </c>
      <c r="D68" s="12">
        <f t="shared" si="15"/>
        <v>65339</v>
      </c>
      <c r="E68" s="31">
        <f t="shared" si="15"/>
        <v>90488</v>
      </c>
    </row>
    <row r="69" spans="1:12" ht="15.75" thickBot="1" x14ac:dyDescent="0.3">
      <c r="A69" s="13" t="s">
        <v>114</v>
      </c>
      <c r="B69" s="14">
        <f>+B68+B62</f>
        <v>352755</v>
      </c>
      <c r="C69" s="14">
        <f t="shared" ref="C69:E69" si="16">+C68+C62</f>
        <v>351002</v>
      </c>
      <c r="D69" s="14">
        <f t="shared" si="16"/>
        <v>323888</v>
      </c>
      <c r="E69" s="32">
        <f t="shared" si="16"/>
        <v>338516</v>
      </c>
    </row>
    <row r="70" spans="1:12" ht="15.75" thickTop="1" x14ac:dyDescent="0.25"/>
    <row r="71" spans="1:12" x14ac:dyDescent="0.25">
      <c r="A71" s="25" t="s">
        <v>13</v>
      </c>
      <c r="B71" s="25"/>
      <c r="C71" s="25"/>
      <c r="D71" s="25"/>
    </row>
    <row r="72" spans="1:12" x14ac:dyDescent="0.25">
      <c r="B72" s="24" t="s">
        <v>63</v>
      </c>
      <c r="C72" s="24"/>
      <c r="D72" s="24"/>
      <c r="E72" s="28" t="s">
        <v>64</v>
      </c>
    </row>
    <row r="73" spans="1:12" x14ac:dyDescent="0.25">
      <c r="B73" s="9">
        <f>+B33</f>
        <v>2022</v>
      </c>
      <c r="C73" s="9">
        <f t="shared" ref="C73:D73" si="17">+C33</f>
        <v>2021</v>
      </c>
      <c r="D73" s="9">
        <f t="shared" si="17"/>
        <v>2020</v>
      </c>
      <c r="E73" s="29">
        <v>2019</v>
      </c>
    </row>
    <row r="75" spans="1:12" x14ac:dyDescent="0.25">
      <c r="A75" s="9" t="s">
        <v>115</v>
      </c>
      <c r="B75" s="17"/>
      <c r="C75" s="17"/>
      <c r="D75" s="17"/>
    </row>
    <row r="76" spans="1:12" x14ac:dyDescent="0.25">
      <c r="A76" t="s">
        <v>116</v>
      </c>
      <c r="B76" s="10">
        <f>+B22</f>
        <v>99803</v>
      </c>
      <c r="C76" s="10">
        <f t="shared" ref="C76:E76" si="18">+C22</f>
        <v>94680</v>
      </c>
      <c r="D76" s="10">
        <f t="shared" si="18"/>
        <v>57411</v>
      </c>
      <c r="E76" s="30">
        <f t="shared" si="18"/>
        <v>55256</v>
      </c>
      <c r="K76" s="9" t="s">
        <v>117</v>
      </c>
    </row>
    <row r="77" spans="1:12" x14ac:dyDescent="0.25">
      <c r="A77" s="18" t="s">
        <v>79</v>
      </c>
      <c r="B77" s="17"/>
      <c r="C77" s="17"/>
      <c r="D77" s="17"/>
      <c r="E77" s="39"/>
      <c r="K77" t="s">
        <v>118</v>
      </c>
      <c r="L77" t="s">
        <v>119</v>
      </c>
    </row>
    <row r="78" spans="1:12" x14ac:dyDescent="0.25">
      <c r="A78" s="1" t="s">
        <v>120</v>
      </c>
      <c r="B78" s="10"/>
      <c r="C78" s="10"/>
      <c r="D78" s="10"/>
      <c r="E78" s="30"/>
      <c r="K78" t="s">
        <v>121</v>
      </c>
      <c r="L78" t="s">
        <v>122</v>
      </c>
    </row>
    <row r="79" spans="1:12" x14ac:dyDescent="0.25">
      <c r="A79" s="19" t="s">
        <v>123</v>
      </c>
      <c r="B79" s="10">
        <v>11104</v>
      </c>
      <c r="C79" s="10">
        <v>11284</v>
      </c>
      <c r="D79" s="10">
        <v>11056</v>
      </c>
      <c r="E79" s="30">
        <v>12547</v>
      </c>
      <c r="K79" t="s">
        <v>124</v>
      </c>
      <c r="L79" t="s">
        <v>125</v>
      </c>
    </row>
    <row r="80" spans="1:12" x14ac:dyDescent="0.25">
      <c r="A80" s="19" t="s">
        <v>126</v>
      </c>
      <c r="B80" s="10">
        <v>9038</v>
      </c>
      <c r="C80" s="10">
        <v>7906</v>
      </c>
      <c r="D80" s="10">
        <v>6829</v>
      </c>
      <c r="E80" s="30">
        <v>6068</v>
      </c>
      <c r="K80" t="s">
        <v>127</v>
      </c>
      <c r="L80" t="s">
        <v>128</v>
      </c>
    </row>
    <row r="81" spans="1:12" x14ac:dyDescent="0.25">
      <c r="A81" s="19" t="s">
        <v>129</v>
      </c>
      <c r="B81" s="10">
        <v>895</v>
      </c>
      <c r="C81" s="10">
        <v>-4774</v>
      </c>
      <c r="D81" s="10">
        <v>-215</v>
      </c>
      <c r="E81" s="30">
        <v>-340</v>
      </c>
      <c r="K81" t="s">
        <v>121</v>
      </c>
      <c r="L81" t="s">
        <v>122</v>
      </c>
    </row>
    <row r="82" spans="1:12" x14ac:dyDescent="0.25">
      <c r="A82" s="19" t="s">
        <v>130</v>
      </c>
      <c r="B82" s="10">
        <v>111</v>
      </c>
      <c r="C82" s="10">
        <v>-147</v>
      </c>
      <c r="D82" s="10">
        <v>-97</v>
      </c>
      <c r="E82" s="30">
        <v>-652</v>
      </c>
      <c r="K82" t="s">
        <v>118</v>
      </c>
      <c r="L82" t="s">
        <v>131</v>
      </c>
    </row>
    <row r="83" spans="1:12" x14ac:dyDescent="0.25">
      <c r="A83" t="s">
        <v>132</v>
      </c>
      <c r="B83" s="10"/>
      <c r="C83" s="10"/>
      <c r="D83" s="10"/>
      <c r="E83" s="30"/>
    </row>
    <row r="84" spans="1:12" x14ac:dyDescent="0.25">
      <c r="A84" s="1" t="s">
        <v>88</v>
      </c>
      <c r="B84" s="10">
        <v>-1823</v>
      </c>
      <c r="C84" s="10">
        <v>-10125</v>
      </c>
      <c r="D84" s="10">
        <v>6917</v>
      </c>
      <c r="E84" s="30">
        <v>245</v>
      </c>
    </row>
    <row r="85" spans="1:12" x14ac:dyDescent="0.25">
      <c r="A85" s="1" t="s">
        <v>89</v>
      </c>
      <c r="B85" s="10">
        <v>1484</v>
      </c>
      <c r="C85" s="10">
        <v>-2642</v>
      </c>
      <c r="D85" s="10">
        <v>-127</v>
      </c>
      <c r="E85" s="30">
        <v>-289</v>
      </c>
      <c r="J85">
        <v>2022</v>
      </c>
      <c r="K85">
        <v>2021</v>
      </c>
      <c r="L85">
        <v>2020</v>
      </c>
    </row>
    <row r="86" spans="1:12" x14ac:dyDescent="0.25">
      <c r="A86" s="1" t="s">
        <v>90</v>
      </c>
      <c r="B86" s="10">
        <v>-7520</v>
      </c>
      <c r="C86" s="10">
        <v>-3903</v>
      </c>
      <c r="D86" s="10">
        <v>1553</v>
      </c>
      <c r="E86" s="30">
        <v>2931</v>
      </c>
      <c r="H86" t="s">
        <v>133</v>
      </c>
      <c r="J86" t="s">
        <v>134</v>
      </c>
      <c r="K86" t="s">
        <v>135</v>
      </c>
      <c r="L86" t="s">
        <v>136</v>
      </c>
    </row>
    <row r="87" spans="1:12" x14ac:dyDescent="0.25">
      <c r="A87" s="1" t="s">
        <v>137</v>
      </c>
      <c r="B87" s="10">
        <v>-6499</v>
      </c>
      <c r="C87" s="10">
        <v>-8042</v>
      </c>
      <c r="D87" s="10">
        <v>-9588</v>
      </c>
      <c r="E87" s="30">
        <v>873</v>
      </c>
    </row>
    <row r="88" spans="1:12" x14ac:dyDescent="0.25">
      <c r="A88" s="1" t="s">
        <v>99</v>
      </c>
      <c r="B88" s="10">
        <v>9448</v>
      </c>
      <c r="C88" s="10">
        <v>12326</v>
      </c>
      <c r="D88" s="10">
        <v>-4062</v>
      </c>
      <c r="E88" s="30">
        <v>-1923</v>
      </c>
    </row>
    <row r="89" spans="1:12" x14ac:dyDescent="0.25">
      <c r="A89" s="1" t="s">
        <v>101</v>
      </c>
      <c r="B89" s="10">
        <v>478</v>
      </c>
      <c r="C89" s="10">
        <v>1676</v>
      </c>
      <c r="D89" s="10">
        <v>2081</v>
      </c>
      <c r="E89" s="30">
        <v>-625</v>
      </c>
      <c r="H89" t="s">
        <v>138</v>
      </c>
      <c r="K89">
        <f>4061-127</f>
        <v>3934</v>
      </c>
    </row>
    <row r="90" spans="1:12" x14ac:dyDescent="0.25">
      <c r="A90" s="1" t="s">
        <v>139</v>
      </c>
      <c r="B90" s="10">
        <v>5632</v>
      </c>
      <c r="C90" s="10">
        <v>5799</v>
      </c>
      <c r="D90" s="10">
        <v>8916</v>
      </c>
      <c r="E90" s="30">
        <v>-4700</v>
      </c>
    </row>
    <row r="91" spans="1:12" x14ac:dyDescent="0.25">
      <c r="A91" s="11" t="s">
        <v>140</v>
      </c>
      <c r="B91" s="12">
        <f>+SUM(B76:B90)</f>
        <v>122151</v>
      </c>
      <c r="C91" s="12">
        <f t="shared" ref="C91:E91" si="19">+SUM(C76:C90)</f>
        <v>104038</v>
      </c>
      <c r="D91" s="12">
        <f t="shared" si="19"/>
        <v>80674</v>
      </c>
      <c r="E91" s="31">
        <f t="shared" si="19"/>
        <v>69391</v>
      </c>
      <c r="H91" t="s">
        <v>141</v>
      </c>
      <c r="K91" s="35">
        <f>D51-D88</f>
        <v>46358</v>
      </c>
    </row>
    <row r="92" spans="1:12" x14ac:dyDescent="0.25">
      <c r="A92" s="9" t="s">
        <v>142</v>
      </c>
      <c r="B92" s="10"/>
      <c r="C92" s="10"/>
      <c r="D92" s="10"/>
      <c r="E92" s="30"/>
    </row>
    <row r="93" spans="1:12" x14ac:dyDescent="0.25">
      <c r="A93" s="1" t="s">
        <v>143</v>
      </c>
      <c r="B93" s="10">
        <v>-76923</v>
      </c>
      <c r="C93" s="10">
        <v>-109558</v>
      </c>
      <c r="D93" s="10">
        <v>-114938</v>
      </c>
      <c r="E93" s="30">
        <v>-39630</v>
      </c>
      <c r="H93" t="s">
        <v>144</v>
      </c>
      <c r="K93" s="35">
        <f>D38+6917</f>
        <v>23037</v>
      </c>
    </row>
    <row r="94" spans="1:12" x14ac:dyDescent="0.25">
      <c r="A94" s="1" t="s">
        <v>145</v>
      </c>
      <c r="B94" s="10">
        <v>29917</v>
      </c>
      <c r="C94" s="10">
        <v>59023</v>
      </c>
      <c r="D94" s="10">
        <v>69918</v>
      </c>
      <c r="E94" s="30">
        <v>40102</v>
      </c>
    </row>
    <row r="95" spans="1:12" x14ac:dyDescent="0.25">
      <c r="A95" s="1" t="s">
        <v>146</v>
      </c>
      <c r="B95" s="10">
        <v>37446</v>
      </c>
      <c r="C95" s="10">
        <v>47460</v>
      </c>
      <c r="D95" s="10">
        <v>50473</v>
      </c>
      <c r="E95" s="30">
        <v>56988</v>
      </c>
    </row>
    <row r="96" spans="1:12" x14ac:dyDescent="0.25">
      <c r="A96" s="1" t="s">
        <v>147</v>
      </c>
      <c r="B96" s="10">
        <v>-10708</v>
      </c>
      <c r="C96" s="10">
        <v>-11085</v>
      </c>
      <c r="D96" s="10">
        <v>-7309</v>
      </c>
      <c r="E96" s="30">
        <v>-10495</v>
      </c>
      <c r="J96">
        <v>2022</v>
      </c>
      <c r="K96">
        <v>2021</v>
      </c>
      <c r="L96">
        <v>2020</v>
      </c>
    </row>
    <row r="97" spans="1:12" x14ac:dyDescent="0.25">
      <c r="A97" s="1" t="s">
        <v>148</v>
      </c>
      <c r="B97" s="10">
        <v>-306</v>
      </c>
      <c r="C97" s="10">
        <v>-33</v>
      </c>
      <c r="D97" s="10">
        <v>-1524</v>
      </c>
      <c r="E97" s="30">
        <v>-624</v>
      </c>
      <c r="H97" t="s">
        <v>149</v>
      </c>
      <c r="J97" s="35">
        <f t="shared" ref="J97:K97" si="20">B21+B81-B101+B113</f>
        <v>45991</v>
      </c>
      <c r="K97" s="35">
        <f t="shared" si="20"/>
        <v>41694</v>
      </c>
      <c r="L97" s="35">
        <f>D21+D81-D101+D113</f>
        <v>22600</v>
      </c>
    </row>
    <row r="98" spans="1:12" x14ac:dyDescent="0.25">
      <c r="A98" s="1" t="s">
        <v>130</v>
      </c>
      <c r="B98" s="10">
        <v>-1780</v>
      </c>
      <c r="C98" s="10">
        <v>-352</v>
      </c>
      <c r="D98" s="10">
        <v>-909</v>
      </c>
      <c r="E98" s="30">
        <v>-445</v>
      </c>
    </row>
    <row r="99" spans="1:12" x14ac:dyDescent="0.25">
      <c r="A99" s="11" t="s">
        <v>150</v>
      </c>
      <c r="B99" s="12">
        <f>+SUM(B93:B98)</f>
        <v>-22354</v>
      </c>
      <c r="C99" s="12">
        <f t="shared" ref="C99:D99" si="21">+SUM(C93:C98)</f>
        <v>-14545</v>
      </c>
      <c r="D99" s="12">
        <f t="shared" si="21"/>
        <v>-4289</v>
      </c>
      <c r="E99" s="31">
        <f t="shared" ref="E99" si="22">+SUM(E93:E98)</f>
        <v>45896</v>
      </c>
      <c r="H99" t="s">
        <v>151</v>
      </c>
      <c r="J99" s="35">
        <f t="shared" ref="J99:K99" si="23">B114</f>
        <v>2865</v>
      </c>
      <c r="K99" s="35">
        <f t="shared" si="23"/>
        <v>2687</v>
      </c>
      <c r="L99" s="35">
        <f>D114</f>
        <v>3002</v>
      </c>
    </row>
    <row r="100" spans="1:12" x14ac:dyDescent="0.25">
      <c r="A100" s="9" t="s">
        <v>152</v>
      </c>
      <c r="B100" s="10"/>
      <c r="C100" s="10"/>
      <c r="D100" s="10"/>
      <c r="E100" s="30"/>
    </row>
    <row r="101" spans="1:12" x14ac:dyDescent="0.25">
      <c r="A101" s="1" t="s">
        <v>153</v>
      </c>
      <c r="B101" s="10">
        <v>-6223</v>
      </c>
      <c r="C101" s="10">
        <v>-6556</v>
      </c>
      <c r="D101" s="10">
        <v>-3634</v>
      </c>
      <c r="E101" s="30">
        <v>-2817</v>
      </c>
    </row>
    <row r="102" spans="1:12" x14ac:dyDescent="0.25">
      <c r="A102" s="1" t="s">
        <v>154</v>
      </c>
      <c r="B102" s="10">
        <v>-14841</v>
      </c>
      <c r="C102" s="10">
        <v>-14467</v>
      </c>
      <c r="D102" s="10">
        <v>-14081</v>
      </c>
      <c r="E102" s="30">
        <v>-14119</v>
      </c>
    </row>
    <row r="103" spans="1:12" x14ac:dyDescent="0.25">
      <c r="A103" s="1" t="s">
        <v>155</v>
      </c>
      <c r="B103" s="10">
        <v>-89402</v>
      </c>
      <c r="C103" s="10">
        <v>-85971</v>
      </c>
      <c r="D103" s="10">
        <v>-72358</v>
      </c>
      <c r="E103" s="30">
        <v>-66897</v>
      </c>
    </row>
    <row r="104" spans="1:12" x14ac:dyDescent="0.25">
      <c r="A104" s="1" t="s">
        <v>156</v>
      </c>
      <c r="B104" s="10">
        <v>5465</v>
      </c>
      <c r="C104" s="10">
        <v>20393</v>
      </c>
      <c r="D104" s="10">
        <v>16091</v>
      </c>
      <c r="E104" s="30">
        <v>6963</v>
      </c>
    </row>
    <row r="105" spans="1:12" x14ac:dyDescent="0.25">
      <c r="A105" s="1" t="s">
        <v>157</v>
      </c>
      <c r="B105" s="10">
        <v>-9543</v>
      </c>
      <c r="C105" s="10">
        <v>-8750</v>
      </c>
      <c r="D105" s="10">
        <v>-12629</v>
      </c>
      <c r="E105" s="30">
        <v>-8805</v>
      </c>
    </row>
    <row r="106" spans="1:12" x14ac:dyDescent="0.25">
      <c r="A106" s="1" t="s">
        <v>158</v>
      </c>
      <c r="B106" s="10">
        <v>3955</v>
      </c>
      <c r="C106" s="10">
        <v>1022</v>
      </c>
      <c r="D106" s="10">
        <v>-963</v>
      </c>
      <c r="E106" s="30">
        <v>-5977</v>
      </c>
    </row>
    <row r="107" spans="1:12" x14ac:dyDescent="0.25">
      <c r="A107" s="1" t="s">
        <v>130</v>
      </c>
      <c r="B107" s="10">
        <v>-160</v>
      </c>
      <c r="C107" s="10">
        <v>976</v>
      </c>
      <c r="D107" s="10">
        <v>754</v>
      </c>
      <c r="E107" s="30">
        <v>676</v>
      </c>
    </row>
    <row r="108" spans="1:12" x14ac:dyDescent="0.25">
      <c r="A108" s="11" t="s">
        <v>159</v>
      </c>
      <c r="B108" s="12">
        <f>+SUM(B101:B107)</f>
        <v>-110749</v>
      </c>
      <c r="C108" s="12">
        <f t="shared" ref="C108:E108" si="24">+SUM(C101:C107)</f>
        <v>-93353</v>
      </c>
      <c r="D108" s="12">
        <f t="shared" si="24"/>
        <v>-86820</v>
      </c>
      <c r="E108" s="31">
        <f t="shared" si="24"/>
        <v>-90976</v>
      </c>
    </row>
    <row r="109" spans="1:12" x14ac:dyDescent="0.25">
      <c r="A109" s="11" t="s">
        <v>160</v>
      </c>
      <c r="B109" s="12">
        <f>+B91+B99+B108</f>
        <v>-10952</v>
      </c>
      <c r="C109" s="12">
        <f t="shared" ref="C109:E109" si="25">+C91+C99+C108</f>
        <v>-3860</v>
      </c>
      <c r="D109" s="12">
        <f t="shared" si="25"/>
        <v>-10435</v>
      </c>
      <c r="E109" s="31">
        <f t="shared" si="25"/>
        <v>24311</v>
      </c>
    </row>
    <row r="110" spans="1:12" ht="15.75" thickBot="1" x14ac:dyDescent="0.3">
      <c r="A110" s="13" t="s">
        <v>161</v>
      </c>
      <c r="B110" s="14">
        <v>24977</v>
      </c>
      <c r="C110" s="14">
        <v>35929</v>
      </c>
      <c r="D110" s="14">
        <v>39789</v>
      </c>
      <c r="E110" s="32">
        <v>50224</v>
      </c>
    </row>
    <row r="111" spans="1:12" ht="15.75" thickTop="1" x14ac:dyDescent="0.25">
      <c r="B111" s="10"/>
      <c r="C111" s="10"/>
      <c r="D111" s="10"/>
      <c r="E111" s="30"/>
    </row>
    <row r="112" spans="1:12" x14ac:dyDescent="0.25">
      <c r="A112" t="s">
        <v>162</v>
      </c>
      <c r="B112" s="10"/>
      <c r="C112" s="10"/>
      <c r="D112" s="10"/>
      <c r="E112" s="30"/>
    </row>
    <row r="113" spans="1:5" x14ac:dyDescent="0.25">
      <c r="A113" t="s">
        <v>163</v>
      </c>
      <c r="B113" s="10">
        <v>19573</v>
      </c>
      <c r="C113" s="10">
        <v>25385</v>
      </c>
      <c r="D113" s="10">
        <v>9501</v>
      </c>
      <c r="E113" s="30">
        <v>15263</v>
      </c>
    </row>
    <row r="114" spans="1:5" x14ac:dyDescent="0.25">
      <c r="A114" t="s">
        <v>164</v>
      </c>
      <c r="B114" s="10">
        <v>2865</v>
      </c>
      <c r="C114" s="10">
        <v>2687</v>
      </c>
      <c r="D114" s="10">
        <v>3002</v>
      </c>
      <c r="E114" s="30">
        <v>3423</v>
      </c>
    </row>
    <row r="117" spans="1:5" ht="75" x14ac:dyDescent="0.25">
      <c r="A117" s="2" t="s">
        <v>165</v>
      </c>
      <c r="B117">
        <v>138.19999999999999</v>
      </c>
      <c r="C117">
        <v>141.5</v>
      </c>
      <c r="D117">
        <v>115.81</v>
      </c>
    </row>
    <row r="118" spans="1:5" x14ac:dyDescent="0.25">
      <c r="A118" t="s">
        <v>166</v>
      </c>
      <c r="B118">
        <v>16030</v>
      </c>
      <c r="C118">
        <v>16490</v>
      </c>
      <c r="D118">
        <v>17060</v>
      </c>
    </row>
    <row r="119" spans="1:5" x14ac:dyDescent="0.25">
      <c r="A119" s="2" t="s">
        <v>167</v>
      </c>
      <c r="B119">
        <f t="shared" ref="B119:C119" si="26">B117*B118</f>
        <v>2215346</v>
      </c>
      <c r="C119">
        <f t="shared" si="26"/>
        <v>2333335</v>
      </c>
      <c r="D119">
        <f>D117*D118</f>
        <v>1975718.6</v>
      </c>
    </row>
  </sheetData>
  <mergeCells count="6">
    <mergeCell ref="A2:D2"/>
    <mergeCell ref="B3:D3"/>
    <mergeCell ref="A31:D31"/>
    <mergeCell ref="B32:D32"/>
    <mergeCell ref="A71:D71"/>
    <mergeCell ref="B72:D7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DC86D-DBD2-4C12-B581-60BEF05901F8}">
  <dimension ref="A1:X97"/>
  <sheetViews>
    <sheetView workbookViewId="0">
      <pane ySplit="3" topLeftCell="A4" activePane="bottomLeft" state="frozen"/>
      <selection pane="bottomLeft" activeCell="E49" sqref="E49"/>
    </sheetView>
  </sheetViews>
  <sheetFormatPr defaultRowHeight="15" x14ac:dyDescent="0.25"/>
  <cols>
    <col min="1" max="1" width="4.7109375" customWidth="1"/>
    <col min="2" max="2" width="49.42578125" customWidth="1"/>
    <col min="3" max="4" width="12.5703125" bestFit="1" customWidth="1"/>
    <col min="5" max="5" width="12.7109375" bestFit="1" customWidth="1"/>
    <col min="7" max="7" width="13.28515625" customWidth="1"/>
  </cols>
  <sheetData>
    <row r="1" spans="1:24" ht="60" customHeight="1" x14ac:dyDescent="0.4">
      <c r="A1" s="7"/>
      <c r="B1" s="20" t="s">
        <v>62</v>
      </c>
      <c r="C1" s="21"/>
      <c r="D1" s="21"/>
      <c r="E1" s="21"/>
      <c r="F1" s="21"/>
      <c r="G1" s="21"/>
      <c r="H1" s="21"/>
      <c r="I1" s="21"/>
      <c r="J1" s="21"/>
      <c r="K1" s="21"/>
    </row>
    <row r="2" spans="1:24" x14ac:dyDescent="0.25">
      <c r="C2" s="24" t="s">
        <v>63</v>
      </c>
      <c r="D2" s="24"/>
      <c r="E2" s="24"/>
    </row>
    <row r="3" spans="1:24" x14ac:dyDescent="0.25">
      <c r="C3" s="9">
        <f>+'[1]Financial Statements - Apple'!B4</f>
        <v>2022</v>
      </c>
      <c r="D3" s="9">
        <f>+'[1]Financial Statements - Apple'!C4</f>
        <v>2021</v>
      </c>
      <c r="E3" s="9">
        <f>+'[1]Financial Statements - Apple'!D4</f>
        <v>2020</v>
      </c>
      <c r="G3" t="s">
        <v>168</v>
      </c>
    </row>
    <row r="4" spans="1:24" x14ac:dyDescent="0.25">
      <c r="A4" s="22">
        <v>1</v>
      </c>
      <c r="B4" s="9" t="s">
        <v>14</v>
      </c>
    </row>
    <row r="5" spans="1:24" x14ac:dyDescent="0.25">
      <c r="A5" s="22">
        <f>+A4+0.1</f>
        <v>1.1000000000000001</v>
      </c>
      <c r="B5" s="1" t="s">
        <v>15</v>
      </c>
      <c r="C5" s="40">
        <f>'[1]Financial Statements - Apple'!B42/'[1]Financial Statements - Apple'!B56</f>
        <v>0.87935602862672257</v>
      </c>
      <c r="D5" s="40">
        <f>'[1]Financial Statements - Apple'!C42/'[1]Financial Statements - Apple'!C56</f>
        <v>1.0745531195957954</v>
      </c>
      <c r="E5" s="40">
        <f>'[1]Financial Statements - Apple'!D42/'[1]Financial Statements - Apple'!D56</f>
        <v>1.3636044481554577</v>
      </c>
      <c r="G5" t="s">
        <v>169</v>
      </c>
      <c r="S5" t="s">
        <v>170</v>
      </c>
    </row>
    <row r="6" spans="1:24" x14ac:dyDescent="0.25">
      <c r="A6" s="22">
        <f t="shared" ref="A6:A13" si="0">+A5+0.1</f>
        <v>1.2000000000000002</v>
      </c>
      <c r="B6" s="1" t="s">
        <v>16</v>
      </c>
      <c r="C6" s="40">
        <f>('[1]Financial Statements - Apple'!B42-'[1]Financial Statements - Apple'!B39)/'[1]Financial Statements - Apple'!B56</f>
        <v>0.84723539114961488</v>
      </c>
      <c r="D6" s="40">
        <f>('[1]Financial Statements - Apple'!C42-'[1]Financial Statements - Apple'!C39)/'[1]Financial Statements - Apple'!C56</f>
        <v>1.0221149018576519</v>
      </c>
      <c r="E6" s="40">
        <f>('[1]Financial Statements - Apple'!D42-'[1]Financial Statements - Apple'!D39)/'[1]Financial Statements - Apple'!D56</f>
        <v>1.325072111735236</v>
      </c>
      <c r="G6" t="s">
        <v>169</v>
      </c>
      <c r="V6">
        <v>2022</v>
      </c>
      <c r="W6">
        <v>2021</v>
      </c>
      <c r="X6">
        <v>2020</v>
      </c>
    </row>
    <row r="7" spans="1:24" x14ac:dyDescent="0.25">
      <c r="A7" s="22">
        <f t="shared" si="0"/>
        <v>1.3000000000000003</v>
      </c>
      <c r="B7" s="1" t="s">
        <v>17</v>
      </c>
      <c r="C7" s="40">
        <f>'[1]Financial Statements - Apple'!B36/'[1]Financial Statements - Apple'!B56</f>
        <v>0.15356340351469652</v>
      </c>
      <c r="D7" s="40">
        <f>'[1]Financial Statements - Apple'!C36/'[1]Financial Statements - Apple'!C56</f>
        <v>0.27844853005634318</v>
      </c>
      <c r="E7" s="40">
        <f>'[1]Financial Statements - Apple'!D36/'[1]Financial Statements - Apple'!D56</f>
        <v>0.36071049035979963</v>
      </c>
      <c r="G7" t="s">
        <v>169</v>
      </c>
      <c r="R7" t="s">
        <v>171</v>
      </c>
      <c r="V7">
        <v>0</v>
      </c>
      <c r="W7">
        <v>0</v>
      </c>
      <c r="X7">
        <v>0</v>
      </c>
    </row>
    <row r="8" spans="1:24" x14ac:dyDescent="0.25">
      <c r="A8" s="22">
        <f t="shared" si="0"/>
        <v>1.4000000000000004</v>
      </c>
      <c r="B8" s="1" t="s">
        <v>172</v>
      </c>
      <c r="C8" s="41">
        <f>('[1]Financial Statements - Apple'!B36+'[1]Financial Statements - Apple'!B37+'[1]Financial Statements - Apple'!B38+'[1]Financial Statements - Apple'!B40)/(('[1]Financial Statements - Apple'!B17-0)/365)</f>
        <v>776.53403447268477</v>
      </c>
      <c r="D8" s="41">
        <f>('[1]Financial Statements - Apple'!C36+'[1]Financial Statements - Apple'!C37+'[1]Financial Statements - Apple'!C38+'[1]Financial Statements - Apple'!C40)/(('[1]Financial Statements - Apple'!C17-0)/365)</f>
        <v>949.32269236903869</v>
      </c>
      <c r="E8" s="41">
        <f>('[1]Financial Statements - Apple'!D36+'[1]Financial Statements - Apple'!D37+'[1]Financial Statements - Apple'!D38+'[1]Financial Statements - Apple'!D40)/(('[1]Financial Statements - Apple'!D17-0)/365)</f>
        <v>1211.8966587359057</v>
      </c>
      <c r="G8" t="s">
        <v>173</v>
      </c>
      <c r="H8" t="s">
        <v>174</v>
      </c>
      <c r="R8" t="s">
        <v>175</v>
      </c>
      <c r="V8">
        <v>0</v>
      </c>
      <c r="W8">
        <v>0</v>
      </c>
      <c r="X8">
        <v>0</v>
      </c>
    </row>
    <row r="9" spans="1:24" x14ac:dyDescent="0.25">
      <c r="A9" s="22">
        <f t="shared" si="0"/>
        <v>1.5000000000000004</v>
      </c>
      <c r="B9" s="1" t="s">
        <v>176</v>
      </c>
      <c r="C9" s="41">
        <f>((('[1]Financial Statements - Apple'!C39+'[1]Financial Statements - Apple'!B39)/2)/'[1]Financial Statements - Apple'!B12)*365</f>
        <v>9.4096740715557434</v>
      </c>
      <c r="D9" s="41">
        <f>((('[1]Financial Statements - Apple'!D39+'[1]Financial Statements - Apple'!C39)/2)/'[1]Financial Statements - Apple'!C12)*365</f>
        <v>9.1181020842234748</v>
      </c>
      <c r="E9" s="41">
        <f>((('[1]Financial Statements - Apple'!E39+'[1]Financial Statements - Apple'!D39)/2)/'[1]Financial Statements - Apple'!D12)*365</f>
        <v>8.7903178244740765</v>
      </c>
      <c r="G9" t="s">
        <v>173</v>
      </c>
      <c r="R9" t="s">
        <v>19</v>
      </c>
      <c r="V9">
        <f>C9</f>
        <v>9.4096740715557434</v>
      </c>
      <c r="W9">
        <f>D9</f>
        <v>9.1181020842234748</v>
      </c>
      <c r="X9">
        <f>E9</f>
        <v>8.7903178244740765</v>
      </c>
    </row>
    <row r="10" spans="1:24" x14ac:dyDescent="0.25">
      <c r="A10" s="22">
        <f t="shared" si="0"/>
        <v>1.6000000000000005</v>
      </c>
      <c r="B10" s="1" t="s">
        <v>177</v>
      </c>
      <c r="C10" s="41">
        <f>((('[1]Financial Statements - Apple'!B51+'[1]Financial Statements - Apple'!C51)/2)/'[1]Financial Statements - Apple'!B12)*365</f>
        <v>97.050428099809452</v>
      </c>
      <c r="D10" s="41">
        <f>((('[1]Financial Statements - Apple'!C51+'[1]Financial Statements - Apple'!D51)/2)/'[1]Financial Statements - Apple'!C12)*365</f>
        <v>83.168299050150011</v>
      </c>
      <c r="E10" s="41">
        <f>((('[1]Financial Statements - Apple'!D51-'[1]Financial Statements - Apple'!D88+'[1]Financial Statements - Apple'!D51)/2)/'[1]Financial Statements - Apple'!D12)*365</f>
        <v>95.42020771530855</v>
      </c>
      <c r="G10" t="s">
        <v>173</v>
      </c>
      <c r="R10" t="s">
        <v>178</v>
      </c>
      <c r="V10">
        <f>C11</f>
        <v>25.205704388225033</v>
      </c>
      <c r="W10">
        <f>D11</f>
        <v>21.151655062503931</v>
      </c>
      <c r="X10">
        <f>E11</f>
        <v>15.315201355117205</v>
      </c>
    </row>
    <row r="11" spans="1:24" x14ac:dyDescent="0.25">
      <c r="A11" s="22">
        <f t="shared" si="0"/>
        <v>1.7000000000000006</v>
      </c>
      <c r="B11" s="1" t="s">
        <v>179</v>
      </c>
      <c r="C11" s="41">
        <f>((('[1]Financial Statements - Apple'!B38+'[1]Financial Statements - Apple'!C38)/2)/'[1]Financial Statements - Apple'!B8)*365</f>
        <v>25.205704388225033</v>
      </c>
      <c r="D11" s="41">
        <f>((('[1]Financial Statements - Apple'!C38+'[1]Financial Statements - Apple'!D38)/2)/'[1]Financial Statements - Apple'!C8)*365</f>
        <v>21.151655062503931</v>
      </c>
      <c r="E11" s="41">
        <f>((('[1]Financial Statements - Apple'!D38+'[1]Financial Statements - Apple'!D84)/2)/'[1]Financial Statements - Apple'!D8)*365</f>
        <v>15.315201355117205</v>
      </c>
      <c r="G11" t="s">
        <v>173</v>
      </c>
      <c r="R11" t="s">
        <v>180</v>
      </c>
      <c r="V11">
        <f>-C10</f>
        <v>-97.050428099809452</v>
      </c>
      <c r="W11">
        <f>-D10</f>
        <v>-83.168299050150011</v>
      </c>
      <c r="X11">
        <f>-E10</f>
        <v>-95.42020771530855</v>
      </c>
    </row>
    <row r="12" spans="1:24" x14ac:dyDescent="0.25">
      <c r="A12" s="22">
        <f t="shared" si="0"/>
        <v>1.8000000000000007</v>
      </c>
      <c r="B12" s="1" t="s">
        <v>181</v>
      </c>
      <c r="C12" s="42">
        <f>V13</f>
        <v>-62.435049640028673</v>
      </c>
      <c r="D12" s="42">
        <f t="shared" ref="D12:E12" si="1">W13</f>
        <v>-52.898541903422604</v>
      </c>
      <c r="E12" s="42">
        <f t="shared" si="1"/>
        <v>-71.314688535717266</v>
      </c>
      <c r="G12" t="s">
        <v>173</v>
      </c>
      <c r="H12" s="43" t="s">
        <v>182</v>
      </c>
    </row>
    <row r="13" spans="1:24" ht="15.75" thickBot="1" x14ac:dyDescent="0.3">
      <c r="A13" s="22">
        <f t="shared" si="0"/>
        <v>1.9000000000000008</v>
      </c>
      <c r="B13" s="1" t="s">
        <v>23</v>
      </c>
      <c r="C13" s="44">
        <f>C14/'[1]Financial Statements - Apple'!B8</f>
        <v>-4.711052727678481E-2</v>
      </c>
      <c r="D13" s="44">
        <f>D14/'[1]Financial Statements - Apple'!C8</f>
        <v>2.557289573748623E-2</v>
      </c>
      <c r="E13" s="44">
        <f>E14/'[1]Financial Statements - Apple'!D8</f>
        <v>0.13959528623208203</v>
      </c>
      <c r="G13" t="s">
        <v>169</v>
      </c>
      <c r="R13" t="s">
        <v>183</v>
      </c>
      <c r="V13" s="45">
        <f t="shared" ref="V13:W13" si="2">SUM(V7:V11)</f>
        <v>-62.435049640028673</v>
      </c>
      <c r="W13" s="45">
        <f t="shared" si="2"/>
        <v>-52.898541903422604</v>
      </c>
      <c r="X13" s="45">
        <f>SUM(X7:X11)</f>
        <v>-71.314688535717266</v>
      </c>
    </row>
    <row r="14" spans="1:24" x14ac:dyDescent="0.25">
      <c r="A14" s="22"/>
      <c r="B14" s="19" t="s">
        <v>24</v>
      </c>
      <c r="C14">
        <f>'[1]Financial Statements - Apple'!B42-'[1]Financial Statements - Apple'!B56</f>
        <v>-18577</v>
      </c>
      <c r="D14">
        <f>'[1]Financial Statements - Apple'!C42-'[1]Financial Statements - Apple'!C56</f>
        <v>9355</v>
      </c>
      <c r="E14">
        <f>'[1]Financial Statements - Apple'!D42-'[1]Financial Statements - Apple'!D56</f>
        <v>38321</v>
      </c>
      <c r="G14" t="s">
        <v>184</v>
      </c>
    </row>
    <row r="15" spans="1:24" x14ac:dyDescent="0.25">
      <c r="A15" s="22"/>
    </row>
    <row r="16" spans="1:24" x14ac:dyDescent="0.25">
      <c r="A16" s="22">
        <f>+A4+1</f>
        <v>2</v>
      </c>
      <c r="B16" s="23" t="s">
        <v>25</v>
      </c>
    </row>
    <row r="17" spans="1:7" x14ac:dyDescent="0.25">
      <c r="A17" s="22">
        <f>+A16+0.1</f>
        <v>2.1</v>
      </c>
      <c r="B17" s="1" t="s">
        <v>11</v>
      </c>
      <c r="C17" s="44">
        <f>'[1]Financial Statements - Apple'!B13/'[1]Financial Statements - Apple'!B8</f>
        <v>0.43309630561360085</v>
      </c>
      <c r="D17" s="44">
        <f>'[1]Financial Statements - Apple'!C13/'[1]Financial Statements - Apple'!C8</f>
        <v>0.41779359625167778</v>
      </c>
      <c r="E17" s="44">
        <f>'[1]Financial Statements - Apple'!D13/'[1]Financial Statements - Apple'!D8</f>
        <v>0.38233247727810865</v>
      </c>
      <c r="G17" t="s">
        <v>169</v>
      </c>
    </row>
    <row r="18" spans="1:7" x14ac:dyDescent="0.25">
      <c r="A18" s="22">
        <f>+A17+0.1</f>
        <v>2.2000000000000002</v>
      </c>
      <c r="B18" s="1" t="s">
        <v>26</v>
      </c>
      <c r="C18" s="44">
        <f>C19/'[1]Financial Statements - Apple'!B8</f>
        <v>0.40515256334827859</v>
      </c>
      <c r="D18" s="44">
        <f>D19/'[1]Financial Statements - Apple'!C8</f>
        <v>0.41098418061489761</v>
      </c>
      <c r="E18" s="44">
        <f>E19/'[1]Financial Statements - Apple'!D8</f>
        <v>0.34267344225270024</v>
      </c>
      <c r="G18" t="s">
        <v>169</v>
      </c>
    </row>
    <row r="19" spans="1:7" x14ac:dyDescent="0.25">
      <c r="A19" s="22"/>
      <c r="B19" s="19" t="s">
        <v>27</v>
      </c>
      <c r="C19">
        <f>C21+'[1]Financial Statements - Apple'!B79</f>
        <v>159763</v>
      </c>
      <c r="D19">
        <f>D21+'[1]Financial Statements - Apple'!C79</f>
        <v>150345</v>
      </c>
      <c r="E19">
        <f>E21+'[1]Financial Statements - Apple'!D79</f>
        <v>94069</v>
      </c>
      <c r="G19" t="s">
        <v>184</v>
      </c>
    </row>
    <row r="20" spans="1:7" x14ac:dyDescent="0.25">
      <c r="A20" s="22">
        <f>+A18+0.1</f>
        <v>2.3000000000000003</v>
      </c>
      <c r="B20" s="1" t="s">
        <v>28</v>
      </c>
      <c r="C20" s="44">
        <f>C21/'[1]Financial Statements - Apple'!B8</f>
        <v>0.37699326449047493</v>
      </c>
      <c r="D20" s="44">
        <f>D21/'[1]Financial Statements - Apple'!C8</f>
        <v>0.38013815650994898</v>
      </c>
      <c r="E20" s="44">
        <f>E21/'[1]Financial Statements - Apple'!D8</f>
        <v>0.30239877602316811</v>
      </c>
      <c r="G20" t="s">
        <v>169</v>
      </c>
    </row>
    <row r="21" spans="1:7" x14ac:dyDescent="0.25">
      <c r="A21" s="22"/>
      <c r="B21" s="19" t="s">
        <v>29</v>
      </c>
      <c r="C21">
        <f>'[1]Financial Statements - Apple'!B22+('[1]Financial Statements - Apple'!B21+'[1]Financial Statements - Apple'!B81-'[1]Financial Statements - Apple'!B101+'[1]Financial Statements - Apple'!B113)+'[1]Financial Statements - Apple'!B114</f>
        <v>148659</v>
      </c>
      <c r="D21">
        <f>'[1]Financial Statements - Apple'!C22+('[1]Financial Statements - Apple'!C21+'[1]Financial Statements - Apple'!C81-'[1]Financial Statements - Apple'!C101+'[1]Financial Statements - Apple'!C113)+'[1]Financial Statements - Apple'!C114</f>
        <v>139061</v>
      </c>
      <c r="E21">
        <f>'[1]Financial Statements - Apple'!D22+('[1]Financial Statements - Apple'!D21+'[1]Financial Statements - Apple'!D81-'[1]Financial Statements - Apple'!D101+'[1]Financial Statements - Apple'!D113)+'[1]Financial Statements - Apple'!D114</f>
        <v>83013</v>
      </c>
      <c r="G21" t="s">
        <v>184</v>
      </c>
    </row>
    <row r="22" spans="1:7" x14ac:dyDescent="0.25">
      <c r="A22" s="22">
        <f>+A20+0.1</f>
        <v>2.4000000000000004</v>
      </c>
      <c r="B22" s="1" t="s">
        <v>30</v>
      </c>
      <c r="C22" s="44">
        <f>'[1]Financial Statements - Apple'!B22/'[1]Financial Statements - Apple'!B8</f>
        <v>0.25309640705199732</v>
      </c>
      <c r="D22" s="44">
        <f>'[1]Financial Statements - Apple'!C22/'[1]Financial Statements - Apple'!C8</f>
        <v>0.25881793355694238</v>
      </c>
      <c r="E22" s="44">
        <f>'[1]Financial Statements - Apple'!D22/'[1]Financial Statements - Apple'!D8</f>
        <v>0.20913611278072236</v>
      </c>
      <c r="G22" t="s">
        <v>169</v>
      </c>
    </row>
    <row r="23" spans="1:7" x14ac:dyDescent="0.25">
      <c r="A23" s="22"/>
    </row>
    <row r="24" spans="1:7" x14ac:dyDescent="0.25">
      <c r="A24" s="22">
        <f>+A16+1</f>
        <v>3</v>
      </c>
      <c r="B24" s="9" t="s">
        <v>31</v>
      </c>
    </row>
    <row r="25" spans="1:7" x14ac:dyDescent="0.25">
      <c r="A25" s="22">
        <f>+A24+0.1</f>
        <v>3.1</v>
      </c>
      <c r="B25" s="1" t="s">
        <v>32</v>
      </c>
      <c r="C25" s="40">
        <f>'[1]Financial Statements - Apple'!B62/'[1]Financial Statements - Apple'!B68</f>
        <v>5.9615369434796337</v>
      </c>
      <c r="D25" s="40">
        <f>'[1]Financial Statements - Apple'!C62/'[1]Financial Statements - Apple'!C68</f>
        <v>4.5635124425423994</v>
      </c>
      <c r="E25" s="40">
        <f>'[1]Financial Statements - Apple'!D62/'[1]Financial Statements - Apple'!D68</f>
        <v>3.9570394404566951</v>
      </c>
      <c r="G25" t="s">
        <v>169</v>
      </c>
    </row>
    <row r="26" spans="1:7" x14ac:dyDescent="0.25">
      <c r="A26" s="22">
        <f t="shared" ref="A26:A30" si="3">+A25+0.1</f>
        <v>3.2</v>
      </c>
      <c r="B26" s="1" t="s">
        <v>33</v>
      </c>
      <c r="C26" s="40">
        <f>'[1]Financial Statements - Apple'!B62/'[1]Financial Statements - Apple'!B48</f>
        <v>0.85635355983614692</v>
      </c>
      <c r="D26" s="40">
        <f>'[1]Financial Statements - Apple'!C62/'[1]Financial Statements - Apple'!C48</f>
        <v>0.82025743443057308</v>
      </c>
      <c r="E26" s="40">
        <f>'[1]Financial Statements - Apple'!D62/'[1]Financial Statements - Apple'!D48</f>
        <v>0.79826668477992391</v>
      </c>
      <c r="G26" t="s">
        <v>169</v>
      </c>
    </row>
    <row r="27" spans="1:7" x14ac:dyDescent="0.25">
      <c r="A27" s="22">
        <f t="shared" si="3"/>
        <v>3.3000000000000003</v>
      </c>
      <c r="B27" s="1" t="s">
        <v>34</v>
      </c>
      <c r="C27" s="40">
        <f>'[1]Financial Statements - Apple'!B61/('[1]Financial Statements - Apple'!B61+'[1]Financial Statements - Apple'!B68)</f>
        <v>0.74507604151469264</v>
      </c>
      <c r="D27" s="40">
        <f>'[1]Financial Statements - Apple'!C61/('[1]Financial Statements - Apple'!C61+'[1]Financial Statements - Apple'!C68)</f>
        <v>0.72024778180302496</v>
      </c>
      <c r="E27" s="40">
        <f>'[1]Financial Statements - Apple'!D61/('[1]Financial Statements - Apple'!D61+'[1]Financial Statements - Apple'!D68)</f>
        <v>0.70096020064440534</v>
      </c>
      <c r="G27" t="s">
        <v>169</v>
      </c>
    </row>
    <row r="28" spans="1:7" x14ac:dyDescent="0.25">
      <c r="A28" s="22">
        <f t="shared" si="3"/>
        <v>3.4000000000000004</v>
      </c>
      <c r="B28" s="1" t="s">
        <v>35</v>
      </c>
      <c r="C28" s="40">
        <f>C21/'[1]Financial Statements - Apple'!B114</f>
        <v>51.887958115183245</v>
      </c>
      <c r="D28" s="40">
        <f>D21/'[1]Financial Statements - Apple'!C114</f>
        <v>51.75325641979903</v>
      </c>
      <c r="E28" s="40">
        <f>E21/'[1]Financial Statements - Apple'!D114</f>
        <v>27.652564956695535</v>
      </c>
      <c r="G28" t="s">
        <v>169</v>
      </c>
    </row>
    <row r="29" spans="1:7" x14ac:dyDescent="0.25">
      <c r="A29" s="22">
        <f t="shared" si="3"/>
        <v>3.5000000000000004</v>
      </c>
      <c r="B29" s="1" t="s">
        <v>36</v>
      </c>
      <c r="C29" s="40">
        <f>'[1]Financial Statements - Apple'!B91/'[1]Financial Statements - Apple'!B62</f>
        <v>0.40436237722745072</v>
      </c>
      <c r="D29" s="40">
        <f>'[1]Financial Statements - Apple'!C91/'[1]Financial Statements - Apple'!C62</f>
        <v>0.3613534691155631</v>
      </c>
      <c r="E29" s="40">
        <f>'[1]Financial Statements - Apple'!D91/'[1]Financial Statements - Apple'!D62</f>
        <v>0.31202596026285151</v>
      </c>
      <c r="G29" t="s">
        <v>169</v>
      </c>
    </row>
    <row r="30" spans="1:7" x14ac:dyDescent="0.25">
      <c r="A30" s="22">
        <f t="shared" si="3"/>
        <v>3.6000000000000005</v>
      </c>
      <c r="B30" s="1" t="s">
        <v>37</v>
      </c>
      <c r="C30" s="40">
        <f>C31/'[1]Financial Statements - Apple'!B118</f>
        <v>6.9444791016843421</v>
      </c>
      <c r="D30" s="40">
        <f>D31/'[1]Financial Statements - Apple'!C118</f>
        <v>6.4049727107337784</v>
      </c>
      <c r="E30" s="40">
        <f>E31/'[1]Financial Statements - Apple'!D118</f>
        <v>4.4468933177022274</v>
      </c>
      <c r="G30" t="s">
        <v>185</v>
      </c>
    </row>
    <row r="31" spans="1:7" x14ac:dyDescent="0.25">
      <c r="A31" s="22"/>
      <c r="B31" s="19" t="s">
        <v>38</v>
      </c>
      <c r="C31">
        <f>'[1]Financial Statements - Apple'!B91+'[1]Financial Statements - Apple'!B96+'[1]Financial Statements - Apple'!B104+'[1]Financial Statements - Apple'!B105+'[1]Financial Statements - Apple'!B106</f>
        <v>111320</v>
      </c>
      <c r="D31">
        <f>'[1]Financial Statements - Apple'!C91+'[1]Financial Statements - Apple'!C96+'[1]Financial Statements - Apple'!C104+'[1]Financial Statements - Apple'!C105+'[1]Financial Statements - Apple'!C106</f>
        <v>105618</v>
      </c>
      <c r="E31">
        <f>'[1]Financial Statements - Apple'!D91+'[1]Financial Statements - Apple'!D96+'[1]Financial Statements - Apple'!D104+'[1]Financial Statements - Apple'!D105+'[1]Financial Statements - Apple'!D106</f>
        <v>75864</v>
      </c>
      <c r="G31" t="s">
        <v>184</v>
      </c>
    </row>
    <row r="32" spans="1:7" x14ac:dyDescent="0.25">
      <c r="A32" s="22"/>
    </row>
    <row r="33" spans="1:7" x14ac:dyDescent="0.25">
      <c r="A33" s="22">
        <f>+A24+1</f>
        <v>4</v>
      </c>
      <c r="B33" s="23" t="s">
        <v>39</v>
      </c>
    </row>
    <row r="34" spans="1:7" x14ac:dyDescent="0.25">
      <c r="A34" s="22">
        <f>+A33+0.1</f>
        <v>4.0999999999999996</v>
      </c>
      <c r="B34" s="1" t="s">
        <v>40</v>
      </c>
      <c r="C34" s="40">
        <f>'[1]Financial Statements - Apple'!B8/(('[1]Financial Statements - Apple'!B48+'[1]Financial Statements - Apple'!C48)/2)</f>
        <v>1.1206368107173357</v>
      </c>
      <c r="D34" s="40">
        <f>'[1]Financial Statements - Apple'!C8/(('[1]Financial Statements - Apple'!C48+'[1]Financial Statements - Apple'!D48)/2)</f>
        <v>1.084078886929722</v>
      </c>
      <c r="E34" s="40">
        <f>'[1]Financial Statements - Apple'!D8/(('[1]Financial Statements - Apple'!D48+'[1]Financial Statements - Apple'!E48)/2)</f>
        <v>0.82884463258072116</v>
      </c>
      <c r="G34" t="s">
        <v>169</v>
      </c>
    </row>
    <row r="35" spans="1:7" x14ac:dyDescent="0.25">
      <c r="A35" s="22">
        <f t="shared" ref="A35:A37" si="4">+A34+0.1</f>
        <v>4.1999999999999993</v>
      </c>
      <c r="B35" s="1" t="s">
        <v>41</v>
      </c>
      <c r="C35" s="40">
        <f>'[1]Financial Statements - Apple'!B8/(('[1]Financial Statements - Apple'!B45+'[1]Financial Statements - Apple'!C45)/2)</f>
        <v>9.6699976703409884</v>
      </c>
      <c r="D35" s="40">
        <f>'[1]Financial Statements - Apple'!C8/(('[1]Financial Statements - Apple'!C45+'[1]Financial Statements - Apple'!D45)/2)</f>
        <v>9.6007400992047867</v>
      </c>
      <c r="E35" s="40">
        <f>'[1]Financial Statements - Apple'!D8/(('[1]Financial Statements - Apple'!D45+'[1]Financial Statements - Apple'!E45)/2)</f>
        <v>7.4049147604661201</v>
      </c>
      <c r="G35" t="s">
        <v>169</v>
      </c>
    </row>
    <row r="36" spans="1:7" x14ac:dyDescent="0.25">
      <c r="A36" s="22">
        <f t="shared" si="4"/>
        <v>4.2999999999999989</v>
      </c>
      <c r="B36" s="1" t="s">
        <v>42</v>
      </c>
      <c r="C36" s="40">
        <f>(C9/365)^-1</f>
        <v>38.789866389033484</v>
      </c>
      <c r="D36" s="40">
        <f>(D9/365)^-1</f>
        <v>40.030260313880277</v>
      </c>
      <c r="E36" s="40">
        <f>(E9/365)^-1</f>
        <v>41.52295824660218</v>
      </c>
      <c r="G36" t="s">
        <v>169</v>
      </c>
    </row>
    <row r="37" spans="1:7" x14ac:dyDescent="0.25">
      <c r="A37" s="22">
        <f t="shared" si="4"/>
        <v>4.3999999999999986</v>
      </c>
      <c r="B37" s="1" t="s">
        <v>43</v>
      </c>
      <c r="C37" s="44">
        <f>'[1]Financial Statements - Apple'!B22/(('[1]Financial Statements - Apple'!B48+'[1]Financial Statements - Apple'!C48)/2)</f>
        <v>0.28362915040276687</v>
      </c>
      <c r="D37" s="44">
        <f>'[1]Financial Statements - Apple'!C22/(('[1]Financial Statements - Apple'!C48+'[1]Financial Statements - Apple'!D48)/2)</f>
        <v>0.28057905732786081</v>
      </c>
      <c r="E37" s="44">
        <f>'[1]Financial Statements - Apple'!D22/(('[1]Financial Statements - Apple'!D48+'[1]Financial Statements - Apple'!E48)/2)</f>
        <v>0.1733413445570981</v>
      </c>
    </row>
    <row r="38" spans="1:7" x14ac:dyDescent="0.25">
      <c r="A38" s="22"/>
    </row>
    <row r="39" spans="1:7" x14ac:dyDescent="0.25">
      <c r="A39" s="22">
        <f>+A33+1</f>
        <v>5</v>
      </c>
      <c r="B39" s="23" t="s">
        <v>44</v>
      </c>
    </row>
    <row r="40" spans="1:7" x14ac:dyDescent="0.25">
      <c r="A40" s="22">
        <f>+A39+0.1</f>
        <v>5.0999999999999996</v>
      </c>
      <c r="B40" s="1" t="s">
        <v>45</v>
      </c>
      <c r="C40" s="40">
        <f>'[1]Financial Statements - Apple'!B117/'List of Ratios - Apple'!C41</f>
        <v>22.197188461268698</v>
      </c>
      <c r="D40" s="40">
        <f>'[1]Financial Statements - Apple'!C117/'List of Ratios - Apple'!D41</f>
        <v>24.644433882551752</v>
      </c>
      <c r="E40" s="40">
        <f>'[1]Financial Statements - Apple'!D117/'List of Ratios - Apple'!E41</f>
        <v>34.413589730191084</v>
      </c>
      <c r="G40" t="s">
        <v>169</v>
      </c>
    </row>
    <row r="41" spans="1:7" x14ac:dyDescent="0.25">
      <c r="A41" s="22">
        <f t="shared" ref="A41:A44" si="5">+A40+0.1</f>
        <v>5.1999999999999993</v>
      </c>
      <c r="B41" s="19" t="s">
        <v>46</v>
      </c>
      <c r="C41" s="40">
        <f>('[1]Financial Statements - Apple'!B22-0)/'[1]Financial Statements - Apple'!B118</f>
        <v>6.2260137242669993</v>
      </c>
      <c r="D41" s="40">
        <f>('[1]Financial Statements - Apple'!C22-0)/'[1]Financial Statements - Apple'!C118</f>
        <v>5.7416616130988478</v>
      </c>
      <c r="E41" s="40">
        <f>('[1]Financial Statements - Apple'!D22-0)/'[1]Financial Statements - Apple'!D118</f>
        <v>3.3652403282532237</v>
      </c>
      <c r="G41" t="s">
        <v>185</v>
      </c>
    </row>
    <row r="42" spans="1:7" x14ac:dyDescent="0.25">
      <c r="A42" s="22">
        <f t="shared" si="5"/>
        <v>5.2999999999999989</v>
      </c>
      <c r="B42" s="1" t="s">
        <v>47</v>
      </c>
      <c r="C42" s="40">
        <f>'[1]Financial Statements - Apple'!B117/'List of Ratios - Apple'!C43</f>
        <v>43.719332175560467</v>
      </c>
      <c r="D42" s="40">
        <f>'[1]Financial Statements - Apple'!C117/'List of Ratios - Apple'!D43</f>
        <v>36.984228879378662</v>
      </c>
      <c r="E42" s="40">
        <f>'[1]Financial Statements - Apple'!D117/'List of Ratios - Apple'!E43</f>
        <v>30.237968135416825</v>
      </c>
      <c r="G42" t="s">
        <v>169</v>
      </c>
    </row>
    <row r="43" spans="1:7" x14ac:dyDescent="0.25">
      <c r="A43" s="22">
        <f t="shared" si="5"/>
        <v>5.3999999999999986</v>
      </c>
      <c r="B43" s="19" t="s">
        <v>48</v>
      </c>
      <c r="C43" s="40">
        <f>('[1]Financial Statements - Apple'!B68-0)/'[1]Financial Statements - Apple'!B118</f>
        <v>3.1610729881472239</v>
      </c>
      <c r="D43" s="40">
        <f>('[1]Financial Statements - Apple'!C68-0)/'[1]Financial Statements - Apple'!C118</f>
        <v>3.8259551243177685</v>
      </c>
      <c r="E43" s="40">
        <f>('[1]Financial Statements - Apple'!D68-0)/'[1]Financial Statements - Apple'!D118</f>
        <v>3.8299531066822978</v>
      </c>
      <c r="G43" t="s">
        <v>185</v>
      </c>
    </row>
    <row r="44" spans="1:7" x14ac:dyDescent="0.25">
      <c r="A44" s="22">
        <f t="shared" si="5"/>
        <v>5.4999999999999982</v>
      </c>
      <c r="B44" s="1" t="s">
        <v>49</v>
      </c>
      <c r="C44" s="40">
        <f>-'[1]Financial Statements - Apple'!B102/'[1]Financial Statements - Apple'!B22</f>
        <v>0.14870294480125848</v>
      </c>
      <c r="D44" s="40">
        <f>-'[1]Financial Statements - Apple'!C102/'[1]Financial Statements - Apple'!C22</f>
        <v>0.15279890156316012</v>
      </c>
      <c r="E44" s="40">
        <f>-'[1]Financial Statements - Apple'!D102/'[1]Financial Statements - Apple'!D22</f>
        <v>0.24526658654264863</v>
      </c>
      <c r="G44" t="s">
        <v>169</v>
      </c>
    </row>
    <row r="45" spans="1:7" x14ac:dyDescent="0.25">
      <c r="A45" s="22"/>
      <c r="B45" s="19" t="s">
        <v>50</v>
      </c>
      <c r="C45" s="40">
        <f>-'[1]Financial Statements - Apple'!B102/'[1]Financial Statements - Apple'!B118</f>
        <v>0.92582657517155331</v>
      </c>
      <c r="D45" s="40">
        <f>-'[1]Financial Statements - Apple'!C102/'[1]Financial Statements - Apple'!C118</f>
        <v>0.87731958762886597</v>
      </c>
      <c r="E45" s="40">
        <f>-'[1]Financial Statements - Apple'!D102/'[1]Financial Statements - Apple'!D118</f>
        <v>0.82538100820633065</v>
      </c>
      <c r="G45" t="s">
        <v>185</v>
      </c>
    </row>
    <row r="46" spans="1:7" x14ac:dyDescent="0.25">
      <c r="A46" s="22">
        <f>+A44+0.1</f>
        <v>5.5999999999999979</v>
      </c>
      <c r="B46" s="1" t="s">
        <v>186</v>
      </c>
      <c r="C46" s="44">
        <f>((-'[1]Financial Statements - Apple'!B102*10^6)/(4443236*10^3))/'[1]Financial Statements - Apple'!B117</f>
        <v>2.4168836340175425E-2</v>
      </c>
      <c r="D46" s="44">
        <f>((-'[1]Financial Statements - Apple'!C102*10^6)/(4443236*10^3))/'[1]Financial Statements - Apple'!C117</f>
        <v>2.3010320110278266E-2</v>
      </c>
      <c r="E46" s="44">
        <f>((-'[1]Financial Statements - Apple'!D102*10^6)/(4443236*10^3))/'[1]Financial Statements - Apple'!D117</f>
        <v>2.7364533932016596E-2</v>
      </c>
      <c r="G46" t="s">
        <v>169</v>
      </c>
    </row>
    <row r="47" spans="1:7" x14ac:dyDescent="0.25">
      <c r="A47" s="22">
        <f t="shared" ref="A47:A50" si="6">+A45+0.1</f>
        <v>0.1</v>
      </c>
      <c r="B47" s="1" t="s">
        <v>52</v>
      </c>
      <c r="C47" s="44">
        <f>'[1]Financial Statements - Apple'!B22/'[1]Financial Statements - Apple'!B68</f>
        <v>1.9695887275023682</v>
      </c>
      <c r="D47" s="44">
        <f>'[1]Financial Statements - Apple'!C22/'[1]Financial Statements - Apple'!C68</f>
        <v>1.5007132667617689</v>
      </c>
      <c r="E47" s="44">
        <f>'[1]Financial Statements - Apple'!D22/'[1]Financial Statements - Apple'!D68</f>
        <v>0.87866358530127486</v>
      </c>
      <c r="G47" t="s">
        <v>169</v>
      </c>
    </row>
    <row r="48" spans="1:7" x14ac:dyDescent="0.25">
      <c r="A48" s="22">
        <f t="shared" si="6"/>
        <v>5.6999999999999975</v>
      </c>
      <c r="B48" s="1" t="s">
        <v>53</v>
      </c>
      <c r="C48" s="44">
        <f>C21/('[1]Financial Statements - Apple'!B48-'[1]Financial Statements - Apple'!B56)</f>
        <v>0.74788326382355752</v>
      </c>
      <c r="D48" s="44">
        <f>D21/('[1]Financial Statements - Apple'!C48-'[1]Financial Statements - Apple'!C56)</f>
        <v>0.61662106854794008</v>
      </c>
      <c r="E48" s="44">
        <f>E21/('[1]Financial Statements - Apple'!D48-'[1]Financial Statements - Apple'!D56)</f>
        <v>0.37992915202108962</v>
      </c>
      <c r="G48" t="s">
        <v>169</v>
      </c>
    </row>
    <row r="49" spans="1:7" x14ac:dyDescent="0.25">
      <c r="A49" s="22">
        <f t="shared" si="6"/>
        <v>0.2</v>
      </c>
      <c r="B49" s="1" t="s">
        <v>43</v>
      </c>
      <c r="C49" s="40">
        <f>'[1]Financial Statements - Apple'!B22/(('[1]Financial Statements - Apple'!B48+'[1]Financial Statements - Apple'!C48)/2)</f>
        <v>0.28362915040276687</v>
      </c>
      <c r="D49" s="40">
        <f>'[1]Financial Statements - Apple'!C22/(('[1]Financial Statements - Apple'!C48+'[1]Financial Statements - Apple'!D48)/2)</f>
        <v>0.28057905732786081</v>
      </c>
      <c r="E49" s="40">
        <f>'[1]Financial Statements - Apple'!D22/(('[1]Financial Statements - Apple'!D48+'[1]Financial Statements - Apple'!E48)/2)</f>
        <v>0.1733413445570981</v>
      </c>
      <c r="G49" t="s">
        <v>169</v>
      </c>
    </row>
    <row r="50" spans="1:7" x14ac:dyDescent="0.25">
      <c r="A50" s="22">
        <f t="shared" si="6"/>
        <v>5.7999999999999972</v>
      </c>
      <c r="B50" s="1" t="s">
        <v>54</v>
      </c>
      <c r="C50" s="40">
        <f t="shared" ref="C50:D50" si="7">C51/C19</f>
        <v>15.609264973742356</v>
      </c>
      <c r="D50" s="40">
        <f t="shared" si="7"/>
        <v>17.202480960457613</v>
      </c>
      <c r="E50" s="40">
        <f>E51/E19</f>
        <v>23.34724085511699</v>
      </c>
      <c r="G50" t="s">
        <v>169</v>
      </c>
    </row>
    <row r="51" spans="1:7" x14ac:dyDescent="0.25">
      <c r="A51" s="22"/>
      <c r="B51" s="19" t="s">
        <v>55</v>
      </c>
      <c r="C51">
        <f>'[1]Financial Statements - Apple'!B119+'[1]Financial Statements - Apple'!B62-'[1]Financial Statements - Apple'!B36</f>
        <v>2493783</v>
      </c>
      <c r="D51">
        <f>'[1]Financial Statements - Apple'!C119+'[1]Financial Statements - Apple'!C62-'[1]Financial Statements - Apple'!C36</f>
        <v>2586307</v>
      </c>
      <c r="E51">
        <f>'[1]Financial Statements - Apple'!D119+'[1]Financial Statements - Apple'!D62-'[1]Financial Statements - Apple'!D36</f>
        <v>2196251.6</v>
      </c>
      <c r="G51" t="s">
        <v>184</v>
      </c>
    </row>
    <row r="53" spans="1:7" x14ac:dyDescent="0.25">
      <c r="A53" s="22"/>
    </row>
    <row r="54" spans="1:7" ht="15.75" x14ac:dyDescent="0.25">
      <c r="B54" s="46" t="s">
        <v>187</v>
      </c>
    </row>
    <row r="56" spans="1:7" x14ac:dyDescent="0.25">
      <c r="B56" s="9" t="s">
        <v>188</v>
      </c>
    </row>
    <row r="57" spans="1:7" x14ac:dyDescent="0.25">
      <c r="A57" s="22"/>
      <c r="B57" t="s">
        <v>189</v>
      </c>
      <c r="C57" s="44">
        <f>('[1]Financial Statements - Apple'!B6-'[1]Financial Statements - Apple'!C6)/'[1]Financial Statements - Apple'!C6</f>
        <v>6.3239764351428418E-2</v>
      </c>
      <c r="D57" s="44">
        <f>('[1]Financial Statements - Apple'!C6-'[1]Financial Statements - Apple'!D6)/'[1]Financial Statements - Apple'!D6</f>
        <v>0.34720743656765435</v>
      </c>
      <c r="E57" s="44">
        <f>('[1]Financial Statements - Apple'!D6-'[1]Financial Statements - Apple'!E6)/'[1]Financial Statements - Apple'!E6</f>
        <v>3.2092312151970941E-2</v>
      </c>
      <c r="G57" t="s">
        <v>169</v>
      </c>
    </row>
    <row r="58" spans="1:7" x14ac:dyDescent="0.25">
      <c r="B58" t="s">
        <v>190</v>
      </c>
      <c r="C58" s="44">
        <f>('[1]Financial Statements - Apple'!B7-'[1]Financial Statements - Apple'!C7)/'[1]Financial Statements - Apple'!C7</f>
        <v>0.14181951041286078</v>
      </c>
      <c r="D58" s="44">
        <f>('[1]Financial Statements - Apple'!C7-'[1]Financial Statements - Apple'!D7)/'[1]Financial Statements - Apple'!D7</f>
        <v>0.27259708376729652</v>
      </c>
      <c r="E58" s="44">
        <f>('[1]Financial Statements - Apple'!D7-'[1]Financial Statements - Apple'!E7)/'[1]Financial Statements - Apple'!E7</f>
        <v>0.16152167807997234</v>
      </c>
      <c r="G58" t="s">
        <v>169</v>
      </c>
    </row>
    <row r="59" spans="1:7" x14ac:dyDescent="0.25">
      <c r="B59" t="s">
        <v>191</v>
      </c>
      <c r="C59" s="44">
        <f>('[1]Financial Statements - Apple'!B8-'[1]Financial Statements - Apple'!C8)/'[1]Financial Statements - Apple'!C8</f>
        <v>7.7937876041846058E-2</v>
      </c>
      <c r="D59" s="44">
        <f>('[1]Financial Statements - Apple'!C8-'[1]Financial Statements - Apple'!D8)/'[1]Financial Statements - Apple'!D8</f>
        <v>0.33259384733074693</v>
      </c>
      <c r="E59" s="44">
        <f>('[1]Financial Statements - Apple'!D8-'[1]Financial Statements - Apple'!E8)/'[1]Financial Statements - Apple'!E8</f>
        <v>5.5120803769784836E-2</v>
      </c>
      <c r="G59" t="s">
        <v>169</v>
      </c>
    </row>
    <row r="60" spans="1:7" x14ac:dyDescent="0.25">
      <c r="B60" t="s">
        <v>192</v>
      </c>
      <c r="C60" s="44">
        <f>('[1]Financial Statements - Apple'!B13-'[1]Financial Statements - Apple'!C13)/'[1]Financial Statements - Apple'!C13</f>
        <v>0.11741997958596143</v>
      </c>
      <c r="D60" s="44">
        <f>('[1]Financial Statements - Apple'!C13-'[1]Financial Statements - Apple'!D13)/'[1]Financial Statements - Apple'!D13</f>
        <v>0.45619116582186819</v>
      </c>
      <c r="E60" s="44">
        <f>('[1]Financial Statements - Apple'!D13-'[1]Financial Statements - Apple'!E13)/'[1]Financial Statements - Apple'!E13</f>
        <v>6.6712740873241722E-2</v>
      </c>
      <c r="G60" t="s">
        <v>169</v>
      </c>
    </row>
    <row r="61" spans="1:7" x14ac:dyDescent="0.25">
      <c r="B61" t="s">
        <v>193</v>
      </c>
      <c r="C61" s="44">
        <f>('[1]Financial Statements - Apple'!B15-'[1]Financial Statements - Apple'!C15)/'[1]Financial Statements - Apple'!C15</f>
        <v>0.19791001186456147</v>
      </c>
      <c r="D61" s="44">
        <f>('[1]Financial Statements - Apple'!C15-'[1]Financial Statements - Apple'!D15)/'[1]Financial Statements - Apple'!D15</f>
        <v>0.16862201365187712</v>
      </c>
      <c r="E61" s="44">
        <f>('[1]Financial Statements - Apple'!D15-'[1]Financial Statements - Apple'!E15)/'[1]Financial Statements - Apple'!E15</f>
        <v>0.15631744465684158</v>
      </c>
      <c r="G61" t="s">
        <v>169</v>
      </c>
    </row>
    <row r="62" spans="1:7" x14ac:dyDescent="0.25">
      <c r="B62" t="s">
        <v>194</v>
      </c>
      <c r="C62" s="44">
        <f>('[1]Financial Statements - Apple'!B16-'[1]Financial Statements - Apple'!C16)/'[1]Financial Statements - Apple'!C16</f>
        <v>0.14203795567287125</v>
      </c>
      <c r="D62" s="44">
        <f>('[1]Financial Statements - Apple'!C16-'[1]Financial Statements - Apple'!D16)/'[1]Financial Statements - Apple'!D16</f>
        <v>0.10328379192608958</v>
      </c>
      <c r="E62" s="44">
        <f>('[1]Financial Statements - Apple'!D16-'[1]Financial Statements - Apple'!E16)/'[1]Financial Statements - Apple'!E16</f>
        <v>9.1586736092080026E-2</v>
      </c>
      <c r="G62" t="s">
        <v>169</v>
      </c>
    </row>
    <row r="64" spans="1:7" x14ac:dyDescent="0.25">
      <c r="B64" s="47" t="s">
        <v>195</v>
      </c>
    </row>
    <row r="65" spans="2:7" x14ac:dyDescent="0.25">
      <c r="B65" s="1" t="s">
        <v>86</v>
      </c>
      <c r="C65" s="44">
        <f>('[1]Financial Statements - Apple'!B36-'[1]Financial Statements - Apple'!C36)/'[1]Financial Statements - Apple'!C36</f>
        <v>-0.32323983972524328</v>
      </c>
      <c r="D65" s="44">
        <f>('[1]Financial Statements - Apple'!C36-'[1]Financial Statements - Apple'!D36)/'[1]Financial Statements - Apple'!D36</f>
        <v>-8.0913299663299659E-2</v>
      </c>
      <c r="E65" s="44">
        <f>('[1]Financial Statements - Apple'!D36-'[1]Financial Statements - Apple'!E36)/'[1]Financial Statements - Apple'!E36</f>
        <v>-0.22168536565391861</v>
      </c>
      <c r="G65" t="s">
        <v>169</v>
      </c>
    </row>
    <row r="66" spans="2:7" x14ac:dyDescent="0.25">
      <c r="B66" s="1" t="s">
        <v>87</v>
      </c>
      <c r="C66" s="44">
        <f>('[1]Financial Statements - Apple'!B37-'[1]Financial Statements - Apple'!C37)/'[1]Financial Statements - Apple'!C37</f>
        <v>-0.10978735694429402</v>
      </c>
      <c r="D66" s="44">
        <f>('[1]Financial Statements - Apple'!C37-'[1]Financial Statements - Apple'!D37)/'[1]Financial Statements - Apple'!D37</f>
        <v>-0.47665652691442933</v>
      </c>
      <c r="E66" s="44">
        <f>('[1]Financial Statements - Apple'!D37-'[1]Financial Statements - Apple'!E37)/'[1]Financial Statements - Apple'!E37</f>
        <v>2.3475721772088256E-2</v>
      </c>
      <c r="G66" t="s">
        <v>169</v>
      </c>
    </row>
    <row r="67" spans="2:7" x14ac:dyDescent="0.25">
      <c r="B67" s="1" t="s">
        <v>88</v>
      </c>
      <c r="C67" s="44">
        <f>('[1]Financial Statements - Apple'!B38-'[1]Financial Statements - Apple'!C38)/'[1]Financial Statements - Apple'!C38</f>
        <v>7.2532156176269125E-2</v>
      </c>
      <c r="D67" s="44">
        <f>('[1]Financial Statements - Apple'!C38-'[1]Financial Statements - Apple'!D38)/'[1]Financial Statements - Apple'!D38</f>
        <v>0.63014888337468977</v>
      </c>
      <c r="E67" s="44">
        <f>('[1]Financial Statements - Apple'!D38-'[1]Financial Statements - Apple'!E38)/'[1]Financial Statements - Apple'!E38</f>
        <v>-0.29686818459391084</v>
      </c>
      <c r="G67" t="s">
        <v>169</v>
      </c>
    </row>
    <row r="68" spans="2:7" x14ac:dyDescent="0.25">
      <c r="B68" s="1" t="s">
        <v>89</v>
      </c>
      <c r="C68" s="44">
        <f>('[1]Financial Statements - Apple'!B39-'[1]Financial Statements - Apple'!C39)/'[1]Financial Statements - Apple'!C39</f>
        <v>-0.24832826747720366</v>
      </c>
      <c r="D68" s="44">
        <f>('[1]Financial Statements - Apple'!C39-'[1]Financial Statements - Apple'!D39)/'[1]Financial Statements - Apple'!D39</f>
        <v>0.62029056882541245</v>
      </c>
      <c r="E68" s="44">
        <f>('[1]Financial Statements - Apple'!D39-'[1]Financial Statements - Apple'!E39)/'[1]Financial Statements - Apple'!E39</f>
        <v>-1.0959571358986848E-2</v>
      </c>
      <c r="G68" t="s">
        <v>169</v>
      </c>
    </row>
    <row r="69" spans="2:7" x14ac:dyDescent="0.25">
      <c r="B69" s="1" t="s">
        <v>90</v>
      </c>
      <c r="C69" s="44">
        <f>('[1]Financial Statements - Apple'!B40-'[1]Financial Statements - Apple'!C40)/'[1]Financial Statements - Apple'!C40</f>
        <v>0.29808149674964324</v>
      </c>
      <c r="D69" s="44">
        <f>('[1]Financial Statements - Apple'!C40-'[1]Financial Statements - Apple'!D40)/'[1]Financial Statements - Apple'!D40</f>
        <v>0.18302461899179367</v>
      </c>
      <c r="E69" s="44">
        <f>('[1]Financial Statements - Apple'!D40-'[1]Financial Statements - Apple'!E40)/'[1]Financial Statements - Apple'!E40</f>
        <v>-6.7881807850336567E-2</v>
      </c>
      <c r="G69" t="s">
        <v>169</v>
      </c>
    </row>
    <row r="70" spans="2:7" x14ac:dyDescent="0.25">
      <c r="B70" s="1" t="s">
        <v>91</v>
      </c>
      <c r="C70" s="44">
        <f>('[1]Financial Statements - Apple'!B41-'[1]Financial Statements - Apple'!C41)/'[1]Financial Statements - Apple'!C41</f>
        <v>0.50400396853518536</v>
      </c>
      <c r="D70" s="44">
        <f>('[1]Financial Statements - Apple'!C41-'[1]Financial Statements - Apple'!D41)/'[1]Financial Statements - Apple'!D41</f>
        <v>0.25275213068181818</v>
      </c>
      <c r="E70" s="44">
        <f>('[1]Financial Statements - Apple'!D41-'[1]Financial Statements - Apple'!E41)/'[1]Financial Statements - Apple'!E41</f>
        <v>-8.8082901554404139E-2</v>
      </c>
      <c r="G70" t="s">
        <v>169</v>
      </c>
    </row>
    <row r="71" spans="2:7" x14ac:dyDescent="0.25">
      <c r="B71" s="1" t="s">
        <v>87</v>
      </c>
      <c r="C71" s="44">
        <f>('[1]Financial Statements - Apple'!B44-'[1]Financial Statements - Apple'!C44)/'[1]Financial Statements - Apple'!C44</f>
        <v>-5.5303142863845724E-2</v>
      </c>
      <c r="D71" s="44">
        <f>('[1]Financial Statements - Apple'!C44-'[1]Financial Statements - Apple'!D44)/'[1]Financial Statements - Apple'!D44</f>
        <v>0.26752703519779553</v>
      </c>
      <c r="E71" s="44">
        <f>('[1]Financial Statements - Apple'!D44-'[1]Financial Statements - Apple'!E44)/'[1]Financial Statements - Apple'!E44</f>
        <v>-4.228173265869889E-2</v>
      </c>
      <c r="G71" t="s">
        <v>169</v>
      </c>
    </row>
    <row r="72" spans="2:7" x14ac:dyDescent="0.25">
      <c r="B72" s="1" t="s">
        <v>94</v>
      </c>
      <c r="C72" s="44">
        <f>('[1]Financial Statements - Apple'!B45-'[1]Financial Statements - Apple'!C45)/'[1]Financial Statements - Apple'!C45</f>
        <v>6.7875253549695744E-2</v>
      </c>
      <c r="D72" s="44">
        <f>('[1]Financial Statements - Apple'!C45-'[1]Financial Statements - Apple'!D45)/'[1]Financial Statements - Apple'!D45</f>
        <v>7.2730239895555673E-2</v>
      </c>
      <c r="E72" s="44">
        <f>('[1]Financial Statements - Apple'!D45-'[1]Financial Statements - Apple'!E45)/'[1]Financial Statements - Apple'!E45</f>
        <v>-1.6373267697576115E-2</v>
      </c>
      <c r="G72" t="s">
        <v>169</v>
      </c>
    </row>
    <row r="73" spans="2:7" x14ac:dyDescent="0.25">
      <c r="B73" s="1" t="s">
        <v>95</v>
      </c>
      <c r="C73" s="44">
        <f>('[1]Financial Statements - Apple'!B46-'[1]Financial Statements - Apple'!C46)/'[1]Financial Statements - Apple'!C46</f>
        <v>0.11420909332842023</v>
      </c>
      <c r="D73" s="44">
        <f>('[1]Financial Statements - Apple'!C46-'[1]Financial Statements - Apple'!D46)/'[1]Financial Statements - Apple'!D46</f>
        <v>0.1487935656836461</v>
      </c>
      <c r="E73" s="44">
        <f>('[1]Financial Statements - Apple'!D46-'[1]Financial Statements - Apple'!E46)/'[1]Financial Statements - Apple'!E46</f>
        <v>0.28940505791739946</v>
      </c>
      <c r="G73" t="s">
        <v>169</v>
      </c>
    </row>
    <row r="75" spans="2:7" x14ac:dyDescent="0.25">
      <c r="B75" s="1" t="s">
        <v>99</v>
      </c>
      <c r="C75" s="44">
        <f>('[1]Financial Statements - Apple'!B51-'[1]Financial Statements - Apple'!C51)/'[1]Financial Statements - Apple'!C51</f>
        <v>0.17077223672917846</v>
      </c>
      <c r="D75" s="44">
        <f>('[1]Financial Statements - Apple'!C51-'[1]Financial Statements - Apple'!D51)/'[1]Financial Statements - Apple'!D51</f>
        <v>0.29475600529600909</v>
      </c>
      <c r="E75" s="44">
        <f>('[1]Financial Statements - Apple'!D51-'[1]Financial Statements - Apple'!E51)/'[1]Financial Statements - Apple'!E51</f>
        <v>-8.5214983995155286E-2</v>
      </c>
      <c r="G75" t="s">
        <v>169</v>
      </c>
    </row>
    <row r="76" spans="2:7" x14ac:dyDescent="0.25">
      <c r="B76" s="1" t="s">
        <v>100</v>
      </c>
      <c r="C76" s="44">
        <f>('[1]Financial Statements - Apple'!B52-'[1]Financial Statements - Apple'!C52)/'[1]Financial Statements - Apple'!C52</f>
        <v>0.28113616743520098</v>
      </c>
      <c r="D76" s="44">
        <f>('[1]Financial Statements - Apple'!C52-'[1]Financial Statements - Apple'!D52)/'[1]Financial Statements - Apple'!D52</f>
        <v>0.1126651672757942</v>
      </c>
      <c r="E76" s="44">
        <f>('[1]Financial Statements - Apple'!D52-'[1]Financial Statements - Apple'!E52)/'[1]Financial Statements - Apple'!E52</f>
        <v>0.13160127253446446</v>
      </c>
      <c r="G76" t="s">
        <v>169</v>
      </c>
    </row>
    <row r="77" spans="2:7" x14ac:dyDescent="0.25">
      <c r="B77" s="1" t="s">
        <v>101</v>
      </c>
      <c r="C77" s="44">
        <f>('[1]Financial Statements - Apple'!B53-'[1]Financial Statements - Apple'!C53)/'[1]Financial Statements - Apple'!C53</f>
        <v>3.9411455596426698E-2</v>
      </c>
      <c r="D77" s="44">
        <f>('[1]Financial Statements - Apple'!C53-'[1]Financial Statements - Apple'!D53)/'[1]Financial Statements - Apple'!D53</f>
        <v>0.14586783079933766</v>
      </c>
      <c r="E77" s="44">
        <f>('[1]Financial Statements - Apple'!D53-'[1]Financial Statements - Apple'!E53)/'[1]Financial Statements - Apple'!E53</f>
        <v>0.20300615718942411</v>
      </c>
      <c r="G77" t="s">
        <v>169</v>
      </c>
    </row>
    <row r="78" spans="2:7" x14ac:dyDescent="0.25">
      <c r="B78" s="1" t="s">
        <v>102</v>
      </c>
      <c r="C78" s="44">
        <f>('[1]Financial Statements - Apple'!B54-'[1]Financial Statements - Apple'!C54)/'[1]Financial Statements - Apple'!C54</f>
        <v>0.66366666666666663</v>
      </c>
      <c r="D78" s="44">
        <f>('[1]Financial Statements - Apple'!C54-'[1]Financial Statements - Apple'!D54)/'[1]Financial Statements - Apple'!D54</f>
        <v>0.20096076861489193</v>
      </c>
      <c r="E78" s="44">
        <f>('[1]Financial Statements - Apple'!D54-'[1]Financial Statements - Apple'!E54)/'[1]Financial Statements - Apple'!E54</f>
        <v>-0.16454849498327759</v>
      </c>
      <c r="G78" t="s">
        <v>169</v>
      </c>
    </row>
    <row r="79" spans="2:7" x14ac:dyDescent="0.25">
      <c r="B79" s="1" t="s">
        <v>196</v>
      </c>
      <c r="C79" s="44">
        <f>('[1]Financial Statements - Apple'!B55-'[1]Financial Statements - Apple'!C55)/'[1]Financial Statements - Apple'!C55</f>
        <v>0.15759908457297409</v>
      </c>
      <c r="D79" s="44">
        <f>('[1]Financial Statements - Apple'!C55-'[1]Financial Statements - Apple'!D55)/'[1]Financial Statements - Apple'!D55</f>
        <v>9.5748318705117977E-2</v>
      </c>
      <c r="E79" s="44">
        <f>('[1]Financial Statements - Apple'!D55-'[1]Financial Statements - Apple'!E55)/'[1]Financial Statements - Apple'!E55</f>
        <v>-0.1449317738791423</v>
      </c>
      <c r="G79" t="s">
        <v>169</v>
      </c>
    </row>
    <row r="80" spans="2:7" x14ac:dyDescent="0.25">
      <c r="B80" s="1" t="s">
        <v>197</v>
      </c>
      <c r="C80" s="44">
        <f>('[1]Financial Statements - Apple'!B59-'[1]Financial Statements - Apple'!C59)/'[1]Financial Statements - Apple'!C59</f>
        <v>-9.3001301486627677E-2</v>
      </c>
      <c r="D80" s="44">
        <f>('[1]Financial Statements - Apple'!C59-'[1]Financial Statements - Apple'!D59)/'[1]Financial Statements - Apple'!D59</f>
        <v>0.1058003182421681</v>
      </c>
      <c r="E80" s="44">
        <f>('[1]Financial Statements - Apple'!D59-'[1]Financial Statements - Apple'!E59)/'[1]Financial Statements - Apple'!E59</f>
        <v>7.4721971091528963E-2</v>
      </c>
      <c r="G80" t="s">
        <v>169</v>
      </c>
    </row>
    <row r="81" spans="2:7" x14ac:dyDescent="0.25">
      <c r="B81" s="1" t="s">
        <v>106</v>
      </c>
      <c r="C81" s="44">
        <f>('[1]Financial Statements - Apple'!B60-'[1]Financial Statements - Apple'!C60)/'[1]Financial Statements - Apple'!C60</f>
        <v>-7.8443506797937171E-2</v>
      </c>
      <c r="D81" s="44">
        <f>('[1]Financial Statements - Apple'!C60-'[1]Financial Statements - Apple'!D60)/'[1]Financial Statements - Apple'!D60</f>
        <v>-2.1380069737566527E-2</v>
      </c>
      <c r="E81" s="44">
        <f>('[1]Financial Statements - Apple'!D60-'[1]Financial Statements - Apple'!E60)/'[1]Financial Statements - Apple'!E60</f>
        <v>7.8945805199691105E-2</v>
      </c>
      <c r="G81" t="s">
        <v>169</v>
      </c>
    </row>
    <row r="82" spans="2:7" x14ac:dyDescent="0.25">
      <c r="B82" s="1"/>
    </row>
    <row r="83" spans="2:7" x14ac:dyDescent="0.25">
      <c r="B83" s="1" t="s">
        <v>198</v>
      </c>
      <c r="C83" s="44">
        <f>('[1]Financial Statements - Apple'!B65-'[1]Financial Statements - Apple'!C65)/'[1]Financial Statements - Apple'!C65</f>
        <v>0.1304628257648392</v>
      </c>
      <c r="D83" s="44">
        <f>('[1]Financial Statements - Apple'!C65-'[1]Financial Statements - Apple'!D65)/'[1]Financial Statements - Apple'!D65</f>
        <v>0.12969928513755685</v>
      </c>
      <c r="E83" s="44">
        <f>('[1]Financial Statements - Apple'!D65-'[1]Financial Statements - Apple'!E65)/'[1]Financial Statements - Apple'!E65</f>
        <v>0.12407579581175013</v>
      </c>
      <c r="G83" t="s">
        <v>169</v>
      </c>
    </row>
    <row r="84" spans="2:7" x14ac:dyDescent="0.25">
      <c r="B84" s="1" t="s">
        <v>111</v>
      </c>
      <c r="C84" s="44">
        <f>('[1]Financial Statements - Apple'!B66-'[1]Financial Statements - Apple'!C66)/'[1]Financial Statements - Apple'!C66</f>
        <v>-1.5516001438331535</v>
      </c>
      <c r="D84" s="44">
        <f>('[1]Financial Statements - Apple'!C66-'[1]Financial Statements - Apple'!D66)/'[1]Financial Statements - Apple'!D66</f>
        <v>-0.62835761058399042</v>
      </c>
      <c r="E84" s="44">
        <f>('[1]Financial Statements - Apple'!D66-'[1]Financial Statements - Apple'!E66)/'[1]Financial Statements - Apple'!E66</f>
        <v>-0.67392914723953112</v>
      </c>
      <c r="G84" t="s">
        <v>169</v>
      </c>
    </row>
    <row r="85" spans="2:7" x14ac:dyDescent="0.25">
      <c r="B85" s="1" t="s">
        <v>112</v>
      </c>
      <c r="C85" s="44">
        <f>('[1]Financial Statements - Apple'!B67-'[1]Financial Statements - Apple'!C67)/'[1]Financial Statements - Apple'!C67</f>
        <v>-69.153374233128829</v>
      </c>
      <c r="D85" s="44">
        <f>('[1]Financial Statements - Apple'!C67-'[1]Financial Statements - Apple'!D67)/'[1]Financial Statements - Apple'!D67</f>
        <v>-1.4014778325123152</v>
      </c>
      <c r="E85" s="44">
        <f>('[1]Financial Statements - Apple'!D67-'[1]Financial Statements - Apple'!E67)/'[1]Financial Statements - Apple'!E67</f>
        <v>-0.3047945205479452</v>
      </c>
      <c r="G85" t="s">
        <v>169</v>
      </c>
    </row>
    <row r="86" spans="2:7" x14ac:dyDescent="0.25">
      <c r="B86" s="1"/>
    </row>
    <row r="87" spans="2:7" x14ac:dyDescent="0.25">
      <c r="B87" s="9" t="s">
        <v>199</v>
      </c>
    </row>
    <row r="88" spans="2:7" x14ac:dyDescent="0.25">
      <c r="B88" t="s">
        <v>200</v>
      </c>
      <c r="C88" s="44">
        <f>'[1]Financial Statements - Apple'!B12/'[1]Financial Statements - Apple'!B8</f>
        <v>0.56690369438639909</v>
      </c>
      <c r="D88" s="44">
        <f>'[1]Financial Statements - Apple'!C12/'[1]Financial Statements - Apple'!C8</f>
        <v>0.58220640374832222</v>
      </c>
      <c r="E88" s="44">
        <f>'[1]Financial Statements - Apple'!D12/'[1]Financial Statements - Apple'!D8</f>
        <v>0.61766752272189129</v>
      </c>
      <c r="G88" t="s">
        <v>169</v>
      </c>
    </row>
    <row r="89" spans="2:7" x14ac:dyDescent="0.25">
      <c r="B89" t="s">
        <v>192</v>
      </c>
      <c r="C89" s="44">
        <f>'[1]Financial Statements - Apple'!B13/'[1]Financial Statements - Apple'!B8</f>
        <v>0.43309630561360085</v>
      </c>
      <c r="D89" s="44">
        <f>'[1]Financial Statements - Apple'!C13/'[1]Financial Statements - Apple'!C8</f>
        <v>0.41779359625167778</v>
      </c>
      <c r="E89" s="44">
        <f>'[1]Financial Statements - Apple'!D13/'[1]Financial Statements - Apple'!D8</f>
        <v>0.38233247727810865</v>
      </c>
      <c r="G89" t="s">
        <v>169</v>
      </c>
    </row>
    <row r="90" spans="2:7" x14ac:dyDescent="0.25">
      <c r="B90" t="s">
        <v>193</v>
      </c>
      <c r="C90" s="48">
        <f>'[1]Financial Statements - Apple'!B15/'[1]Financial Statements - Apple'!B8</f>
        <v>6.657148363798665E-2</v>
      </c>
      <c r="D90" s="48">
        <f>'[1]Financial Statements - Apple'!C15/'[1]Financial Statements - Apple'!C8</f>
        <v>5.9904269074427925E-2</v>
      </c>
      <c r="E90" s="48">
        <f>'[1]Financial Statements - Apple'!D15/'[1]Financial Statements - Apple'!D8</f>
        <v>6.8309564140393061E-2</v>
      </c>
      <c r="G90" t="s">
        <v>169</v>
      </c>
    </row>
    <row r="91" spans="2:7" x14ac:dyDescent="0.25">
      <c r="B91" t="s">
        <v>194</v>
      </c>
      <c r="C91" s="48">
        <f>'[1]Financial Statements - Apple'!B16/'[1]Financial Statements - Apple'!B8</f>
        <v>6.3637378020328261E-2</v>
      </c>
      <c r="D91" s="48">
        <f>'[1]Financial Statements - Apple'!C16/'[1]Financial Statements - Apple'!C8</f>
        <v>6.006555190163388E-2</v>
      </c>
      <c r="E91" s="48">
        <f>'[1]Financial Statements - Apple'!D16/'[1]Financial Statements - Apple'!D8</f>
        <v>7.2549769593646979E-2</v>
      </c>
      <c r="G91" t="s">
        <v>169</v>
      </c>
    </row>
    <row r="92" spans="2:7" x14ac:dyDescent="0.25">
      <c r="B92" t="s">
        <v>201</v>
      </c>
      <c r="C92" s="44">
        <f>'[1]Financial Statements - Apple'!B18/'[1]Financial Statements - Apple'!B8</f>
        <v>0.30288744395528594</v>
      </c>
      <c r="D92" s="44">
        <f>'[1]Financial Statements - Apple'!C18/'[1]Financial Statements - Apple'!C8</f>
        <v>0.29782377527561593</v>
      </c>
      <c r="E92" s="44">
        <f>'[1]Financial Statements - Apple'!D18/'[1]Financial Statements - Apple'!D8</f>
        <v>0.24147314354406862</v>
      </c>
      <c r="G92" t="s">
        <v>169</v>
      </c>
    </row>
    <row r="93" spans="2:7" x14ac:dyDescent="0.25">
      <c r="B93" t="s">
        <v>202</v>
      </c>
      <c r="C93" s="44">
        <f>'[1]Financial Statements - Apple'!B22/'[1]Financial Statements - Apple'!B8</f>
        <v>0.25309640705199732</v>
      </c>
      <c r="D93" s="44">
        <f>'[1]Financial Statements - Apple'!C22/'[1]Financial Statements - Apple'!C8</f>
        <v>0.25881793355694238</v>
      </c>
      <c r="E93" s="44">
        <f>'[1]Financial Statements - Apple'!D22/'[1]Financial Statements - Apple'!D8</f>
        <v>0.20913611278072236</v>
      </c>
      <c r="G93" t="s">
        <v>169</v>
      </c>
    </row>
    <row r="95" spans="2:7" x14ac:dyDescent="0.25">
      <c r="B95" t="s">
        <v>203</v>
      </c>
      <c r="C95" s="44">
        <f>'[1]Financial Statements - Apple'!B21/'[1]Financial Statements - Apple'!B20</f>
        <v>0.16204461684424407</v>
      </c>
      <c r="D95" s="44">
        <f>'[1]Financial Statements - Apple'!C21/'[1]Financial Statements - Apple'!C20</f>
        <v>0.13302260844085087</v>
      </c>
      <c r="E95" s="44">
        <f>'[1]Financial Statements - Apple'!D21/'[1]Financial Statements - Apple'!D20</f>
        <v>0.14428164731484103</v>
      </c>
      <c r="G95" t="s">
        <v>169</v>
      </c>
    </row>
    <row r="96" spans="2:7" x14ac:dyDescent="0.25">
      <c r="B96" t="s">
        <v>204</v>
      </c>
      <c r="C96" s="44">
        <f>ABS('[1]Financial Statements - Apple'!B96/'[1]Financial Statements - Apple'!B8)</f>
        <v>2.7155058732831552E-2</v>
      </c>
      <c r="D96" s="44">
        <f>ABS('[1]Financial Statements - Apple'!C96/'[1]Financial Statements - Apple'!C8)</f>
        <v>3.0302036264033657E-2</v>
      </c>
      <c r="E96" s="44">
        <f>ABS('[1]Financial Statements - Apple'!D96/'[1]Financial Statements - Apple'!D8)</f>
        <v>2.6625138881299748E-2</v>
      </c>
      <c r="G96" t="s">
        <v>169</v>
      </c>
    </row>
    <row r="97" spans="2:7" x14ac:dyDescent="0.25">
      <c r="B97" t="s">
        <v>205</v>
      </c>
      <c r="C97" s="44">
        <f>ABS('[1]Financial Statements - Apple'!B96/'[1]Financial Statements - Apple'!B45)</f>
        <v>0.25424412944891611</v>
      </c>
      <c r="D97" s="44">
        <f>ABS('[1]Financial Statements - Apple'!C96/'[1]Financial Statements - Apple'!C45)</f>
        <v>0.28105983772819471</v>
      </c>
      <c r="E97" s="44">
        <f>ABS('[1]Financial Statements - Apple'!D96/'[1]Financial Statements - Apple'!D45)</f>
        <v>0.19879780231735844</v>
      </c>
      <c r="G97" t="s">
        <v>169</v>
      </c>
    </row>
  </sheetData>
  <mergeCells count="1">
    <mergeCell ref="C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Financial Statements</vt:lpstr>
      <vt:lpstr>List of Ratios</vt:lpstr>
      <vt:lpstr>Financial Statements - Apple</vt:lpstr>
      <vt:lpstr>List of Ratios - Apple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14525</cp:lastModifiedBy>
  <dcterms:created xsi:type="dcterms:W3CDTF">2020-05-19T16:15:53Z</dcterms:created>
  <dcterms:modified xsi:type="dcterms:W3CDTF">2024-03-22T17:32:48Z</dcterms:modified>
</cp:coreProperties>
</file>