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My Drive\Documents\Education\Quill Capital - Investment Analyst\"/>
    </mc:Choice>
  </mc:AlternateContent>
  <xr:revisionPtr revIDLastSave="0" documentId="13_ncr:1_{2F5B8AE2-50BF-4977-90B5-58A29628B9E1}" xr6:coauthVersionLast="47" xr6:coauthVersionMax="47" xr10:uidLastSave="{00000000-0000-0000-0000-000000000000}"/>
  <bookViews>
    <workbookView xWindow="28800" yWindow="0" windowWidth="14400" windowHeight="15600" activeTab="2" xr2:uid="{8E006DAA-60B2-4D3F-92F7-5E0883D88D65}"/>
    <workbookView xWindow="43200" yWindow="0" windowWidth="14400" windowHeight="15600" activeTab="1" xr2:uid="{E2CF6653-BEBF-488E-B645-D04837CD78DA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D8" i="3"/>
  <c r="E8" i="3"/>
  <c r="C8" i="3"/>
  <c r="D51" i="3"/>
  <c r="E51" i="3"/>
  <c r="C51" i="3"/>
  <c r="C50" i="3" s="1"/>
  <c r="C19" i="3"/>
  <c r="C18" i="3" s="1"/>
  <c r="E50" i="3"/>
  <c r="D49" i="3"/>
  <c r="E49" i="3"/>
  <c r="C49" i="3"/>
  <c r="H25" i="1"/>
  <c r="D48" i="3"/>
  <c r="E48" i="3"/>
  <c r="C48" i="3"/>
  <c r="D47" i="3"/>
  <c r="E47" i="3"/>
  <c r="C47" i="3"/>
  <c r="D44" i="3"/>
  <c r="C46" i="3"/>
  <c r="D45" i="3"/>
  <c r="D46" i="3" s="1"/>
  <c r="E45" i="3"/>
  <c r="E44" i="3" s="1"/>
  <c r="C45" i="3"/>
  <c r="C44" i="3" s="1"/>
  <c r="D43" i="3"/>
  <c r="D42" i="3" s="1"/>
  <c r="E43" i="3"/>
  <c r="C43" i="3"/>
  <c r="C42" i="3" s="1"/>
  <c r="E42" i="3"/>
  <c r="D40" i="3"/>
  <c r="E40" i="3"/>
  <c r="C40" i="3"/>
  <c r="G25" i="1"/>
  <c r="F25" i="1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97" i="3"/>
  <c r="E97" i="3"/>
  <c r="C97" i="3"/>
  <c r="D96" i="3"/>
  <c r="E96" i="3"/>
  <c r="C96" i="3"/>
  <c r="D95" i="3"/>
  <c r="E95" i="3"/>
  <c r="C95" i="3"/>
  <c r="E94" i="3"/>
  <c r="D94" i="3"/>
  <c r="C94" i="3"/>
  <c r="E80" i="3"/>
  <c r="D80" i="3"/>
  <c r="C80" i="3"/>
  <c r="D90" i="3"/>
  <c r="E90" i="3"/>
  <c r="C90" i="3"/>
  <c r="D89" i="3"/>
  <c r="E89" i="3"/>
  <c r="C89" i="3"/>
  <c r="E87" i="3"/>
  <c r="D87" i="3"/>
  <c r="C87" i="3"/>
  <c r="E86" i="3"/>
  <c r="D86" i="3"/>
  <c r="C86" i="3"/>
  <c r="E83" i="3"/>
  <c r="D83" i="3"/>
  <c r="C83" i="3"/>
  <c r="D82" i="3"/>
  <c r="E82" i="3"/>
  <c r="C82" i="3"/>
  <c r="D76" i="3"/>
  <c r="C76" i="3"/>
  <c r="D75" i="3"/>
  <c r="C75" i="3"/>
  <c r="D73" i="3"/>
  <c r="C73" i="3"/>
  <c r="D72" i="3"/>
  <c r="C72" i="3"/>
  <c r="D71" i="3"/>
  <c r="C71" i="3"/>
  <c r="D70" i="3"/>
  <c r="C70" i="3"/>
  <c r="D69" i="3"/>
  <c r="C69" i="3"/>
  <c r="D58" i="3"/>
  <c r="C58" i="3"/>
  <c r="D57" i="3"/>
  <c r="C57" i="3"/>
  <c r="D65" i="3"/>
  <c r="D64" i="3"/>
  <c r="C65" i="3"/>
  <c r="C64" i="3"/>
  <c r="D60" i="3"/>
  <c r="C60" i="3"/>
  <c r="D55" i="3"/>
  <c r="E55" i="3"/>
  <c r="C55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C26" i="3"/>
  <c r="D25" i="3"/>
  <c r="E25" i="3"/>
  <c r="C25" i="3"/>
  <c r="D19" i="3"/>
  <c r="D18" i="3" s="1"/>
  <c r="E19" i="3"/>
  <c r="E18" i="3" s="1"/>
  <c r="D21" i="3"/>
  <c r="D28" i="3" s="1"/>
  <c r="E21" i="3"/>
  <c r="E28" i="3" s="1"/>
  <c r="C21" i="3"/>
  <c r="C20" i="3" s="1"/>
  <c r="B20" i="1"/>
  <c r="B18" i="1"/>
  <c r="D22" i="3"/>
  <c r="E22" i="3"/>
  <c r="C22" i="3"/>
  <c r="D17" i="3"/>
  <c r="E17" i="3"/>
  <c r="C17" i="3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C9" i="3"/>
  <c r="D9" i="3"/>
  <c r="E9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E46" i="3" l="1"/>
  <c r="D50" i="3"/>
  <c r="E12" i="3"/>
  <c r="D12" i="3"/>
  <c r="E20" i="3"/>
  <c r="D20" i="3"/>
  <c r="C12" i="3"/>
  <c r="C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22" i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<sst xmlns="http://schemas.openxmlformats.org/spreadsheetml/2006/main" count="208" uniqueCount="151">
  <si>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</si>
  <si>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</si>
  <si>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</si>
  <si>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</si>
  <si>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</si>
  <si>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</si>
  <si>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</si>
  <si>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</si>
  <si>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</si>
  <si>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</si>
  <si>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</si>
  <si>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</si>
  <si>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</si>
  <si>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</si>
  <si>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</si>
  <si>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</si>
  <si>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</si>
  <si>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</si>
  <si>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</si>
  <si>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</si>
  <si>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</si>
  <si>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</si>
  <si>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</si>
  <si>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</si>
  <si>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</si>
  <si>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</si>
  <si>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</si>
  <si>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</si>
  <si>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</si>
  <si>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</si>
  <si>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</si>
  <si>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</si>
  <si>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</si>
  <si>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</si>
  <si>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</si>
  <si>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</si>
  <si>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</si>
  <si>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</si>
  <si>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</si>
  <si>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</si>
  <si>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</si>
  <si>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</si>
  <si>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</si>
  <si>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</si>
  <si>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</si>
  <si>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</si>
  <si>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</si>
  <si>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</si>
  <si>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</si>
  <si>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</si>
  <si>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</si>
  <si>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</si>
  <si>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</si>
  <si>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</si>
  <si>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</si>
  <si>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</si>
  <si>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</si>
  <si>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</si>
  <si>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</si>
  <si>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</si>
  <si>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</si>
  <si>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</si>
  <si>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</si>
  <si>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</si>
  <si>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</si>
  <si>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</si>
  <si>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</si>
  <si>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</si>
  <si>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</si>
  <si>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</si>
  <si>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</si>
  <si>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</si>
  <si>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</si>
  <si>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</si>
  <si>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</si>
  <si>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</si>
  <si>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</si>
  <si>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</si>
  <si>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</si>
  <si>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</si>
  <si>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</si>
  <si>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</si>
  <si>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</si>
  <si>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</si>
  <si>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</si>
  <si>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</si>
  <si>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</si>
  <si>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</si>
  <si>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</si>
  <si>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</si>
  <si>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</si>
  <si>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</si>
  <si>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</si>
  <si>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</si>
  <si>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</si>
  <si>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</si>
  <si>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</si>
  <si>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</si>
  <si>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</si>
  <si>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</si>
  <si>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</si>
  <si>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</si>
  <si>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</si>
  <si>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</si>
  <si>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</si>
  <si>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</si>
  <si>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</si>
  <si>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</si>
  <si>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</si>
  <si>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</si>
  <si>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</si>
  <si>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</si>
  <si>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</si>
  <si>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</si>
  <si>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</si>
  <si>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</si>
  <si>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</si>
  <si>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</si>
  <si>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</si>
  <si>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</si>
  <si>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</si>
  <si>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</si>
  <si>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</si>
  <si>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</si>
  <si>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</si>
  <si>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</si>
  <si>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</si>
  <si>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</si>
  <si>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</si>
  <si>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</si>
  <si>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</si>
  <si>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</si>
  <si>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</si>
  <si>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</si>
  <si>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</si>
  <si>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</si>
  <si>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</si>
  <si>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</si>
  <si>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</si>
  <si>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</si>
  <si>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</si>
  <si>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</si>
  <si>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</si>
  <si>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</si>
  <si>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</si>
  <si>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</si>
  <si>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</si>
  <si>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</si>
  <si>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</si>
  <si>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</si>
  <si>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Share Price at 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</si>
</sst>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4" fontId="0" fillId="0" borderId="0" xfId="1" applyFont="1"/>
    <xf numFmtId="165" fontId="0" fillId="0" borderId="0" xfId="0" applyNumberFormat="1"/>
    <xf numFmtId="0" fontId="0" fillId="5" borderId="0" xfId="0" applyFill="1"/>
    <xf numFmtId="164" fontId="0" fillId="0" borderId="0" xfId="0" applyNumberForma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NumberFormat="1" applyFont="1"/>
    <xf numFmtId="165" fontId="0" fillId="0" borderId="0" xfId="1" applyNumberFormat="1" applyFon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zoomScale="159" workbookViewId="0">
      <selection activeCell="A27" sqref="A27"/>
    </sheetView>
    <sheetView workbookViewId="1"/>
  </sheetViews>
  <sheetFormatPr defaultColWidth="8.85546875" defaultRowHeight="15" x14ac:dyDescent="0.25"/>
  <cols>
    <col min="1" max="1" width="104.42578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62" zoomScaleNormal="100" workbookViewId="0">
      <selection activeCell="A80" sqref="A80"/>
    </sheetView>
    <sheetView tabSelected="1" workbookViewId="1">
      <selection activeCell="E15" sqref="E15"/>
    </sheetView>
  </sheetViews>
  <sheetFormatPr defaultColWidth="8.85546875" defaultRowHeight="15" x14ac:dyDescent="0.25"/>
  <cols>
    <col min="1" max="1" width="59" customWidth="1"/>
    <col min="2" max="3" width="11.42578125" bestFit="1" customWidth="1"/>
    <col min="4" max="4" width="12.14062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0" t="s">
        <v>1</v>
      </c>
      <c r="B2" s="30"/>
      <c r="C2" s="30"/>
      <c r="D2" s="30"/>
    </row>
    <row r="3" spans="1:10" x14ac:dyDescent="0.25">
      <c r="B3" s="29" t="s">
        <v>23</v>
      </c>
      <c r="C3" s="29"/>
      <c r="D3" s="29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8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8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8" x14ac:dyDescent="0.25">
      <c r="A19" t="s">
        <v>15</v>
      </c>
      <c r="B19" s="12">
        <v>-334</v>
      </c>
      <c r="C19" s="12">
        <v>258</v>
      </c>
      <c r="D19" s="12">
        <v>803</v>
      </c>
      <c r="F19" s="25"/>
    </row>
    <row r="20" spans="1:8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8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8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8" ht="15.75" thickTop="1" x14ac:dyDescent="0.25">
      <c r="A23" t="s">
        <v>19</v>
      </c>
    </row>
    <row r="24" spans="1:8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8" x14ac:dyDescent="0.25">
      <c r="A25" s="1" t="s">
        <v>21</v>
      </c>
      <c r="B25" s="10">
        <v>6.11</v>
      </c>
      <c r="C25" s="10">
        <v>5.61</v>
      </c>
      <c r="D25" s="10">
        <v>3.28</v>
      </c>
      <c r="F25" s="27">
        <f>+B22/(B28/1000)</f>
        <v>6.1132002014722815</v>
      </c>
      <c r="G25" s="27">
        <f t="shared" ref="G25:H25" si="8">+C22/(C28/1000)</f>
        <v>5.6140204408927188</v>
      </c>
      <c r="H25" s="27">
        <f>+D22/(D28/1000)</f>
        <v>3.2753479618630856</v>
      </c>
    </row>
    <row r="26" spans="1:8" x14ac:dyDescent="0.25">
      <c r="A26" t="s">
        <v>22</v>
      </c>
    </row>
    <row r="27" spans="1:8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8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29" spans="1:8" x14ac:dyDescent="0.25">
      <c r="A29" s="1" t="s">
        <v>150</v>
      </c>
      <c r="B29" s="2">
        <v>129.93</v>
      </c>
      <c r="C29" s="2">
        <v>177.57</v>
      </c>
      <c r="D29" s="2">
        <v>132.69</v>
      </c>
    </row>
    <row r="31" spans="1:8" x14ac:dyDescent="0.25">
      <c r="A31" s="30" t="s">
        <v>24</v>
      </c>
      <c r="B31" s="30"/>
      <c r="C31" s="30"/>
      <c r="D31" s="30"/>
    </row>
    <row r="32" spans="1:8" x14ac:dyDescent="0.25">
      <c r="B32" s="29" t="s">
        <v>142</v>
      </c>
      <c r="C32" s="29"/>
      <c r="D32" s="29"/>
    </row>
    <row r="33" spans="1:4" x14ac:dyDescent="0.25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</row>
    <row r="70" spans="1:4" ht="15.75" thickTop="1" x14ac:dyDescent="0.25"/>
    <row r="71" spans="1:4" x14ac:dyDescent="0.25">
      <c r="A71" s="30" t="s">
        <v>55</v>
      </c>
      <c r="B71" s="30"/>
      <c r="C71" s="30"/>
      <c r="D71" s="30"/>
    </row>
    <row r="72" spans="1:4" x14ac:dyDescent="0.25">
      <c r="B72" s="29" t="s">
        <v>23</v>
      </c>
      <c r="C72" s="29"/>
      <c r="D72" s="29"/>
    </row>
    <row r="73" spans="1:4" x14ac:dyDescent="0.25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7"/>
  <sheetViews>
    <sheetView tabSelected="1" zoomScale="130" zoomScaleNormal="130" workbookViewId="0">
      <selection activeCell="C8" sqref="C8"/>
    </sheetView>
    <sheetView workbookViewId="1"/>
  </sheetViews>
  <sheetFormatPr defaultColWidth="8.85546875" defaultRowHeight="15" x14ac:dyDescent="0.25"/>
  <cols>
    <col min="1" max="1" width="4.7109375" customWidth="1"/>
    <col min="2" max="2" width="36.28515625" customWidth="1"/>
    <col min="3" max="3" width="10.85546875" customWidth="1"/>
    <col min="4" max="5" width="11.4257812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9" t="s">
        <v>23</v>
      </c>
      <c r="D2" s="29"/>
      <c r="E2" s="29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4">
        <f>+'Financial Statements'!B42/'Financial Statements'!B56</f>
        <v>0.87935602862672257</v>
      </c>
      <c r="D5" s="24">
        <f>+'Financial Statements'!C42/'Financial Statements'!C56</f>
        <v>1.0745531195957954</v>
      </c>
      <c r="E5" s="24">
        <f>+'Financial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4">
        <f>+('Financial Statements'!B42-'Financial Statements'!B39)/'Financial Statements'!B56</f>
        <v>0.84723539114961488</v>
      </c>
      <c r="D6" s="24">
        <f>+('Financial Statements'!C42-'Financial Statements'!C39)/'Financial Statements'!C56</f>
        <v>1.0221149018576519</v>
      </c>
      <c r="E6" s="24">
        <f>+('Financial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24">
        <f>+'Financial Statements'!B36/'Financial Statements'!B56</f>
        <v>0.15356340351469652</v>
      </c>
      <c r="D7" s="24">
        <f>+'Financial Statements'!C36/'Financial Statements'!C56</f>
        <v>0.27844853005634318</v>
      </c>
      <c r="E7" s="24">
        <f>+'Financial Statements'!D36/'Financial Statements'!D56</f>
        <v>0.36071049035979963</v>
      </c>
    </row>
    <row r="8" spans="1:10" x14ac:dyDescent="0.25">
      <c r="A8" s="18">
        <f t="shared" si="0"/>
        <v>1.4000000000000004</v>
      </c>
      <c r="B8" s="1" t="s">
        <v>103</v>
      </c>
      <c r="C8" s="32">
        <f>+('Financial Statements'!B36+'Financial Statements'!B37+'Financial Statements'!B38+'Financial Statements'!B40)/(('Financial Statements'!B17-'Financial Statements'!B79)/365)</f>
        <v>990.80887651897319</v>
      </c>
      <c r="D8" s="32">
        <f>+('Financial Statements'!C36+'Financial Statements'!C37+'Financial Statements'!C38+'Financial Statements'!C40)/(('Financial Statements'!C17-'Financial Statements'!C79)/365)</f>
        <v>1277.8862374628102</v>
      </c>
      <c r="E8" s="32">
        <f>+('Financial Statements'!D36+'Financial Statements'!D37+'Financial Statements'!D38+'Financial Statements'!D40)/(('Financial Statements'!D17-'Financial Statements'!D79)/365)</f>
        <v>1697.1468926553673</v>
      </c>
    </row>
    <row r="9" spans="1:10" x14ac:dyDescent="0.25">
      <c r="A9" s="18">
        <f t="shared" si="0"/>
        <v>1.5000000000000004</v>
      </c>
      <c r="B9" s="1" t="s">
        <v>104</v>
      </c>
      <c r="C9" s="12">
        <f>((('Financial Statements'!B39)/'Financial Statements'!B12)*365)</f>
        <v>8.0756980666171607</v>
      </c>
      <c r="D9" s="12">
        <f>((('Financial Statements'!C39)/'Financial Statements'!C12)*365)</f>
        <v>11.27659274770989</v>
      </c>
      <c r="E9" s="12">
        <f>((('Financial Statements'!D39)/'Financial Statements'!D12)*365)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12">
        <f>+('Financial Statements'!B51/'Financial Statements'!B12)*365</f>
        <v>104.68527730310539</v>
      </c>
      <c r="D10" s="12">
        <f>+('Financial Statements'!C51/'Financial Statements'!C12)*365</f>
        <v>93.851071222315596</v>
      </c>
      <c r="E10" s="12">
        <f>+('Financial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12">
        <f>+('Financial Statements'!B38/'Financial Statements'!B8)*365</f>
        <v>26.087825363656648</v>
      </c>
      <c r="D11" s="12">
        <f>+('Financial Statements'!C38/'Financial Statements'!C8)*365</f>
        <v>26.219311841713207</v>
      </c>
      <c r="E11" s="12">
        <f>+('Financial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 s="25">
        <f>+C9+C11-C10</f>
        <v>-70.521753872831582</v>
      </c>
      <c r="D12" s="25">
        <f t="shared" ref="D12:E12" si="1">+D9+D11-D10</f>
        <v>-56.355166632892498</v>
      </c>
      <c r="E12" s="25">
        <f t="shared" si="1"/>
        <v>-60.872869206641568</v>
      </c>
    </row>
    <row r="13" spans="1:10" x14ac:dyDescent="0.25">
      <c r="A13" s="18">
        <f t="shared" si="0"/>
        <v>1.9000000000000008</v>
      </c>
      <c r="B13" s="1" t="s">
        <v>108</v>
      </c>
      <c r="C13" s="23">
        <f>+C14/'Financial Statements'!B8</f>
        <v>-4.711052727678481E-2</v>
      </c>
      <c r="D13" s="23">
        <f>+D14/'Financial Statements'!C8</f>
        <v>2.557289573748623E-2</v>
      </c>
      <c r="E13" s="23">
        <f>+E14/'Financial Statements'!D8</f>
        <v>0.13959528623208203</v>
      </c>
    </row>
    <row r="14" spans="1:10" x14ac:dyDescent="0.25">
      <c r="A14" s="18"/>
      <c r="B14" s="3" t="s">
        <v>109</v>
      </c>
      <c r="C14" s="12">
        <f>+'Financial Statements'!B42-'Financial Statements'!B56</f>
        <v>-18577</v>
      </c>
      <c r="D14" s="12">
        <f>+'Financial Statements'!C42-'Financial Statements'!C56</f>
        <v>9355</v>
      </c>
      <c r="E14" s="12">
        <f>+'Financial Statements'!D42-'Financial Statements'!D56</f>
        <v>38321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8" x14ac:dyDescent="0.25">
      <c r="A17" s="18">
        <f>+A16+0.1</f>
        <v>2.1</v>
      </c>
      <c r="B17" s="1" t="s">
        <v>9</v>
      </c>
      <c r="C17" s="23">
        <f>+'Financial Statements'!B13/'Financial Statements'!B8</f>
        <v>0.43309630561360085</v>
      </c>
      <c r="D17" s="23">
        <f>+'Financial Statements'!C13/'Financial Statements'!C8</f>
        <v>0.41779359625167778</v>
      </c>
      <c r="E17" s="23">
        <f>+'Financial Statements'!D13/'Financial Statements'!D8</f>
        <v>0.38233247727810865</v>
      </c>
    </row>
    <row r="18" spans="1:8" x14ac:dyDescent="0.25">
      <c r="A18" s="18">
        <f>+A17+0.1</f>
        <v>2.2000000000000002</v>
      </c>
      <c r="B18" s="1" t="s">
        <v>111</v>
      </c>
      <c r="C18" s="23">
        <f>+C19/'Financial Statements'!B8</f>
        <v>0.3310467428130896</v>
      </c>
      <c r="D18" s="23">
        <f>+D19/'Financial Statements'!C8</f>
        <v>0.32866979938056462</v>
      </c>
      <c r="E18" s="23">
        <f>+E19/'Financial Statements'!D8</f>
        <v>0.2817478097736007</v>
      </c>
    </row>
    <row r="19" spans="1:8" x14ac:dyDescent="0.25">
      <c r="A19" s="18"/>
      <c r="B19" s="3" t="s">
        <v>112</v>
      </c>
      <c r="C19" s="12">
        <f>+'Financial Statements'!B18+'Financial Statements'!B79</f>
        <v>130541</v>
      </c>
      <c r="D19" s="12">
        <f>+'Financial Statements'!C18+'Financial Statements'!C79</f>
        <v>120233</v>
      </c>
      <c r="E19" s="12">
        <f>+'Financial Statements'!D18+'Financial Statements'!D79</f>
        <v>77344</v>
      </c>
    </row>
    <row r="20" spans="1:8" x14ac:dyDescent="0.25">
      <c r="A20" s="18">
        <f>+A18+0.1</f>
        <v>2.3000000000000003</v>
      </c>
      <c r="B20" s="1" t="s">
        <v>113</v>
      </c>
      <c r="C20" s="23">
        <f>+C21/'Financial Statements'!B8</f>
        <v>0.30288744395528594</v>
      </c>
      <c r="D20" s="23">
        <f>+D21/'Financial Statements'!C8</f>
        <v>0.29782377527561593</v>
      </c>
      <c r="E20" s="23">
        <f>+E21/'Financial Statements'!D8</f>
        <v>0.24147314354406862</v>
      </c>
    </row>
    <row r="21" spans="1:8" x14ac:dyDescent="0.25">
      <c r="A21" s="18"/>
      <c r="B21" s="3" t="s">
        <v>114</v>
      </c>
      <c r="C21" s="12">
        <f>+'Financial Statements'!B18</f>
        <v>119437</v>
      </c>
      <c r="D21" s="12">
        <f>+'Financial Statements'!C18</f>
        <v>108949</v>
      </c>
      <c r="E21" s="12">
        <f>+'Financial Statements'!D18</f>
        <v>66288</v>
      </c>
      <c r="G21" s="25"/>
      <c r="H21" s="25"/>
    </row>
    <row r="22" spans="1:8" x14ac:dyDescent="0.25">
      <c r="A22" s="18">
        <f>+A20+0.1</f>
        <v>2.4000000000000004</v>
      </c>
      <c r="B22" s="1" t="s">
        <v>115</v>
      </c>
      <c r="C22" s="23">
        <f>+'Financial Statements'!B22/'Financial Statements'!B8</f>
        <v>0.25309640705199732</v>
      </c>
      <c r="D22" s="23">
        <f>+'Financial Statements'!C22/'Financial Statements'!C8</f>
        <v>0.25881793355694238</v>
      </c>
      <c r="E22" s="23">
        <f>+'Financial Statements'!D22/'Financial Statements'!D8</f>
        <v>0.20913611278072236</v>
      </c>
    </row>
    <row r="23" spans="1:8" x14ac:dyDescent="0.25">
      <c r="A23" s="18"/>
    </row>
    <row r="24" spans="1:8" x14ac:dyDescent="0.25">
      <c r="A24" s="18">
        <f>+A16+1</f>
        <v>3</v>
      </c>
      <c r="B24" s="7" t="s">
        <v>116</v>
      </c>
    </row>
    <row r="25" spans="1:8" x14ac:dyDescent="0.25">
      <c r="A25" s="18">
        <f>+A24+0.1</f>
        <v>3.1</v>
      </c>
      <c r="B25" s="1" t="s">
        <v>117</v>
      </c>
      <c r="C25" s="24">
        <f>+('Financial Statements'!B59+'Financial Statements'!B55)/'Financial Statements'!B68</f>
        <v>2.1725410483107042</v>
      </c>
      <c r="D25" s="24">
        <f>+('Financial Statements'!C59+'Financial Statements'!C55)/'Financial Statements'!C68</f>
        <v>1.8817403708987162</v>
      </c>
      <c r="E25" s="24">
        <f>+('Financial Statements'!D59+'Financial Statements'!D55)/'Financial Statements'!D68</f>
        <v>1.6443471739696047</v>
      </c>
    </row>
    <row r="26" spans="1:8" x14ac:dyDescent="0.25">
      <c r="A26" s="18">
        <f t="shared" ref="A26:A30" si="2">+A25+0.1</f>
        <v>3.2</v>
      </c>
      <c r="B26" s="1" t="s">
        <v>118</v>
      </c>
      <c r="C26" s="24">
        <f>+('Financial Statements'!B59+'Financial Statements'!B55)/'Financial Statements'!B48</f>
        <v>0.31207778769967826</v>
      </c>
      <c r="D26" s="24">
        <f>+('Financial Statements'!C59+'Financial Statements'!C55)/'Financial Statements'!C48</f>
        <v>0.33822884200090025</v>
      </c>
      <c r="E26" s="24">
        <f>+('Financial Statements'!D59+'Financial Statements'!D55)/'Financial Statements'!D48</f>
        <v>0.33171960677765155</v>
      </c>
    </row>
    <row r="27" spans="1:8" x14ac:dyDescent="0.25">
      <c r="A27" s="18">
        <f t="shared" si="2"/>
        <v>3.3000000000000003</v>
      </c>
      <c r="B27" s="1" t="s">
        <v>119</v>
      </c>
      <c r="C27" s="24">
        <f>'Financial Statements'!B59/('Financial Statements'!B59+'Financial Statements'!B68)</f>
        <v>0.66135359651409131</v>
      </c>
      <c r="D27" s="24">
        <f>'Financial Statements'!C59/('Financial Statements'!C59+'Financial Statements'!C68)</f>
        <v>0.63361518269878514</v>
      </c>
      <c r="E27" s="24">
        <f>'Financial Statements'!D59/('Financial Statements'!D59+'Financial Statements'!D68)</f>
        <v>0.60160603880345842</v>
      </c>
    </row>
    <row r="28" spans="1:8" x14ac:dyDescent="0.25">
      <c r="A28" s="18">
        <f t="shared" si="2"/>
        <v>3.4000000000000004</v>
      </c>
      <c r="B28" s="1" t="s">
        <v>120</v>
      </c>
      <c r="C28" s="24">
        <f>+C21/'Financial Statements'!B114</f>
        <v>41.68830715532286</v>
      </c>
      <c r="D28" s="24">
        <f>+D21/'Financial Statements'!C114</f>
        <v>40.546706363974693</v>
      </c>
      <c r="E28" s="24">
        <f>+E21/'Financial Statements'!D114</f>
        <v>22.081279147235175</v>
      </c>
    </row>
    <row r="29" spans="1:8" x14ac:dyDescent="0.25">
      <c r="A29" s="18">
        <f t="shared" si="2"/>
        <v>3.5000000000000004</v>
      </c>
      <c r="B29" s="1" t="s">
        <v>121</v>
      </c>
      <c r="C29" s="24">
        <f>+('Financial Statements'!B18/'Financial Statements'!B114)</f>
        <v>41.68830715532286</v>
      </c>
      <c r="D29" s="24">
        <f>+('Financial Statements'!C18/'Financial Statements'!C114)</f>
        <v>40.546706363974693</v>
      </c>
      <c r="E29" s="24">
        <f>+('Financial Statements'!D18/'Financial Statements'!D114)</f>
        <v>22.081279147235175</v>
      </c>
    </row>
    <row r="30" spans="1:8" x14ac:dyDescent="0.25">
      <c r="A30" s="18">
        <f t="shared" si="2"/>
        <v>3.6000000000000005</v>
      </c>
      <c r="B30" s="1" t="s">
        <v>122</v>
      </c>
      <c r="C30" s="24">
        <f>+C31/('Financial Statements'!B28/1000)</f>
        <v>6.8261812776437125</v>
      </c>
      <c r="D30" s="24">
        <f>+D31/('Financial Statements'!C28/1000)</f>
        <v>5.5116185260065578</v>
      </c>
      <c r="E30" s="24">
        <f>+E31/('Financial Statements'!D28/1000)</f>
        <v>4.185537670865954</v>
      </c>
    </row>
    <row r="31" spans="1:8" x14ac:dyDescent="0.25">
      <c r="A31" s="18"/>
      <c r="B31" s="3" t="s">
        <v>123</v>
      </c>
      <c r="C31" s="12">
        <f>+'Financial Statements'!B91+'Financial Statements'!B96</f>
        <v>111443</v>
      </c>
      <c r="D31" s="12">
        <f>+'Financial Statements'!C91+'Financial Statements'!C96</f>
        <v>92953</v>
      </c>
      <c r="E31" s="12">
        <f>+'Financial Statements'!D91+'Financial Statements'!D96</f>
        <v>73365</v>
      </c>
    </row>
    <row r="32" spans="1:8" x14ac:dyDescent="0.25">
      <c r="A32" s="18"/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 s="24">
        <f>+'Financial Statements'!B8/'Financial Statements'!B48</f>
        <v>1.1178523337727317</v>
      </c>
      <c r="D34" s="24">
        <f>+'Financial Statements'!C8/'Financial Statements'!C48</f>
        <v>1.0422077367080529</v>
      </c>
      <c r="E34" s="24">
        <f>+'Financial Statements'!D8/'Financial Statements'!D48</f>
        <v>0.84756150274168851</v>
      </c>
    </row>
    <row r="35" spans="1:5" x14ac:dyDescent="0.25">
      <c r="A35" s="18">
        <f t="shared" ref="A35:A37" si="3">+A34+0.1</f>
        <v>4.1999999999999993</v>
      </c>
      <c r="B35" s="1" t="s">
        <v>126</v>
      </c>
      <c r="C35" s="24">
        <f>+'Financial Statements'!B8/('Financial Statements'!B45-'Financial Statements'!B79)</f>
        <v>12.714925998774707</v>
      </c>
      <c r="D35" s="24">
        <f>+'Financial Statements'!C8/('Financial Statements'!C45-'Financial Statements'!C79)</f>
        <v>12.992506037789459</v>
      </c>
      <c r="E35" s="24">
        <f>+'Financial Statements'!D8/('Financial Statements'!D45-'Financial Statements'!D79)</f>
        <v>10.677362893815635</v>
      </c>
    </row>
    <row r="36" spans="1:5" x14ac:dyDescent="0.25">
      <c r="A36" s="18">
        <f t="shared" si="3"/>
        <v>4.2999999999999989</v>
      </c>
      <c r="B36" s="1" t="s">
        <v>127</v>
      </c>
      <c r="C36" s="24">
        <f>+'Financial Statements'!B12/'Financial Statements'!B39</f>
        <v>45.197331176708452</v>
      </c>
      <c r="D36" s="24">
        <f>+'Financial Statements'!C12/'Financial Statements'!C39</f>
        <v>32.367933130699086</v>
      </c>
      <c r="E36" s="24">
        <f>+'Financial Statements'!D12/'Financial Statements'!D39</f>
        <v>41.753016498399411</v>
      </c>
    </row>
    <row r="37" spans="1:5" x14ac:dyDescent="0.25">
      <c r="A37" s="18">
        <f t="shared" si="3"/>
        <v>4.3999999999999986</v>
      </c>
      <c r="B37" s="1" t="s">
        <v>128</v>
      </c>
      <c r="C37" s="23">
        <f>+'Financial Statements'!B22/'Financial Statements'!B8</f>
        <v>0.25309640705199732</v>
      </c>
      <c r="D37" s="23">
        <f>+'Financial Statements'!C22/'Financial Statements'!C8</f>
        <v>0.25881793355694238</v>
      </c>
      <c r="E37" s="23">
        <f>+'Financial Statements'!D22/'Financial Statements'!D8</f>
        <v>0.20913611278072236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</row>
    <row r="40" spans="1:5" x14ac:dyDescent="0.25">
      <c r="A40" s="18">
        <f>+A39+0.1</f>
        <v>5.0999999999999996</v>
      </c>
      <c r="B40" s="1" t="s">
        <v>130</v>
      </c>
      <c r="C40" s="24">
        <f>+'Financial Statements'!B29/'Financial Statements'!B25</f>
        <v>21.265139116202946</v>
      </c>
      <c r="D40" s="24">
        <f>+'Financial Statements'!C29/'Financial Statements'!C25</f>
        <v>31.652406417112296</v>
      </c>
      <c r="E40" s="24">
        <f>+'Financial Statements'!D29/'Financial Statements'!D25</f>
        <v>40.454268292682926</v>
      </c>
    </row>
    <row r="41" spans="1:5" x14ac:dyDescent="0.25">
      <c r="A41" s="18">
        <f t="shared" ref="A41:A44" si="4">+A40+0.1</f>
        <v>5.1999999999999993</v>
      </c>
      <c r="B41" s="3" t="s">
        <v>131</v>
      </c>
      <c r="C41">
        <f>+'Financial Statements'!B25</f>
        <v>6.11</v>
      </c>
      <c r="D41">
        <f>+'Financial Statements'!C25</f>
        <v>5.61</v>
      </c>
      <c r="E41">
        <f>+'Financial Statements'!D25</f>
        <v>3.28</v>
      </c>
    </row>
    <row r="42" spans="1:5" x14ac:dyDescent="0.25">
      <c r="A42" s="18">
        <f t="shared" si="4"/>
        <v>5.2999999999999989</v>
      </c>
      <c r="B42" s="1" t="s">
        <v>132</v>
      </c>
      <c r="C42" s="24">
        <f>+'Financial Statements'!B29/'List of Ratios'!C43</f>
        <v>41.86165264189296</v>
      </c>
      <c r="D42" s="24">
        <f>+'Financial Statements'!C29/'List of Ratios'!D43</f>
        <v>47.467168597717546</v>
      </c>
      <c r="E42" s="24">
        <f>+'Financial Statements'!D29/'List of Ratios'!E43</f>
        <v>35.596178632363518</v>
      </c>
    </row>
    <row r="43" spans="1:5" x14ac:dyDescent="0.25">
      <c r="A43" s="18">
        <f t="shared" si="4"/>
        <v>5.3999999999999986</v>
      </c>
      <c r="B43" s="3" t="s">
        <v>133</v>
      </c>
      <c r="C43" s="12">
        <f>+'Financial Statements'!B68/('Financial Statements'!B28/1000)</f>
        <v>3.1037952827971451</v>
      </c>
      <c r="D43" s="12">
        <f>+'Financial Statements'!C68/('Financial Statements'!C28/1000)</f>
        <v>3.740901453484597</v>
      </c>
      <c r="E43" s="12">
        <f>+'Financial Statements'!D68/('Financial Statements'!D28/1000)</f>
        <v>3.7276473233382479</v>
      </c>
    </row>
    <row r="44" spans="1:5" x14ac:dyDescent="0.25">
      <c r="A44" s="18">
        <f t="shared" si="4"/>
        <v>5.4999999999999982</v>
      </c>
      <c r="B44" s="1" t="s">
        <v>134</v>
      </c>
      <c r="C44" s="23">
        <f>+C45/C41</f>
        <v>0.14878083013397297</v>
      </c>
      <c r="D44" s="23">
        <f t="shared" ref="D44:E44" si="5">+D45/D41</f>
        <v>0.15290840583271573</v>
      </c>
      <c r="E44" s="23">
        <f t="shared" si="5"/>
        <v>0.24491872388584765</v>
      </c>
    </row>
    <row r="45" spans="1:5" x14ac:dyDescent="0.25">
      <c r="A45" s="18"/>
      <c r="B45" s="3" t="s">
        <v>135</v>
      </c>
      <c r="C45" s="24">
        <f>+-'Financial Statements'!B102/('Financial Statements'!B28/1000)</f>
        <v>0.90905087211857494</v>
      </c>
      <c r="D45" s="24">
        <f>+-'Financial Statements'!C102/('Financial Statements'!C28/1000)</f>
        <v>0.85781615672153533</v>
      </c>
      <c r="E45" s="24">
        <f>+-'Financial Statements'!D102/('Financial Statements'!D28/1000)</f>
        <v>0.80333341434558025</v>
      </c>
    </row>
    <row r="46" spans="1:5" x14ac:dyDescent="0.25">
      <c r="A46" s="18">
        <f>+A44+0.1</f>
        <v>5.5999999999999979</v>
      </c>
      <c r="B46" s="1" t="s">
        <v>136</v>
      </c>
      <c r="C46" s="28">
        <f>+C45/'Financial Statements'!B29</f>
        <v>6.9964663443282914E-3</v>
      </c>
      <c r="D46" s="28">
        <f>+D45/'Financial Statements'!C29</f>
        <v>4.8308619514644104E-3</v>
      </c>
      <c r="E46" s="28">
        <f>+E45/'Financial Statements'!D29</f>
        <v>6.0542121813669473E-3</v>
      </c>
    </row>
    <row r="47" spans="1:5" x14ac:dyDescent="0.25">
      <c r="A47" s="18">
        <f t="shared" ref="A47:A50" si="6">+A45+0.1</f>
        <v>0.1</v>
      </c>
      <c r="B47" s="1" t="s">
        <v>137</v>
      </c>
      <c r="C47" s="23">
        <f>+'Financial Statements'!B22/'Financial Statements'!B68</f>
        <v>1.9695887275023682</v>
      </c>
      <c r="D47" s="23">
        <f>+'Financial Statements'!C22/'Financial Statements'!C68</f>
        <v>1.5007132667617689</v>
      </c>
      <c r="E47" s="23">
        <f>+'Financial Statements'!D22/'Financial Statements'!D68</f>
        <v>0.87866358530127486</v>
      </c>
    </row>
    <row r="48" spans="1:5" x14ac:dyDescent="0.25">
      <c r="A48" s="18">
        <f t="shared" si="6"/>
        <v>5.6999999999999975</v>
      </c>
      <c r="B48" s="1" t="s">
        <v>138</v>
      </c>
      <c r="C48" s="31">
        <f>+'Financial Statements'!B18/('Financial Statements'!B48-'Financial Statements'!B56)</f>
        <v>0.60087134570590572</v>
      </c>
      <c r="D48" s="23">
        <f>+'Financial Statements'!C18/('Financial Statements'!C48-'Financial Statements'!C56)</f>
        <v>0.48309913489209433</v>
      </c>
      <c r="E48" s="23">
        <f>+'Financial Statements'!D18/('Financial Statements'!D48-'Financial Statements'!D56)</f>
        <v>0.30338312829525482</v>
      </c>
    </row>
    <row r="49" spans="1:6" x14ac:dyDescent="0.25">
      <c r="A49" s="18">
        <f t="shared" si="6"/>
        <v>0.2</v>
      </c>
      <c r="B49" s="1" t="s">
        <v>128</v>
      </c>
      <c r="C49" s="23">
        <f>+'Financial Statements'!B22/'Financial Statements'!B48</f>
        <v>0.28292440929256851</v>
      </c>
      <c r="D49" s="23">
        <f>+'Financial Statements'!C22/'Financial Statements'!C48</f>
        <v>0.26974205275183616</v>
      </c>
      <c r="E49" s="23">
        <f>+'Financial Statements'!D22/'Financial Statements'!D48</f>
        <v>0.1772557180259843</v>
      </c>
    </row>
    <row r="50" spans="1:6" x14ac:dyDescent="0.25">
      <c r="A50" s="18">
        <f t="shared" si="6"/>
        <v>5.7999999999999972</v>
      </c>
      <c r="B50" s="1" t="s">
        <v>139</v>
      </c>
      <c r="C50" s="12">
        <f>+C51/'List of Ratios'!C19</f>
        <v>16.911580749879349</v>
      </c>
      <c r="D50" s="12">
        <f>+D51/'List of Ratios'!D19</f>
        <v>25.604307193782073</v>
      </c>
      <c r="E50" s="12">
        <f>+E51/'List of Ratios'!E19</f>
        <v>30.968694606692178</v>
      </c>
    </row>
    <row r="51" spans="1:6" x14ac:dyDescent="0.25">
      <c r="A51" s="18"/>
      <c r="B51" s="3" t="s">
        <v>140</v>
      </c>
      <c r="C51" s="12">
        <f>+(('Financial Statements'!B28/1000)*'Financial Statements'!B29)+('Financial Statements'!B59+'Financial Statements'!B55)-'Financial Statements'!B36</f>
        <v>2207654.66267</v>
      </c>
      <c r="D51" s="12">
        <f>+(('Financial Statements'!C28/1000)*'Financial Statements'!C29)+('Financial Statements'!C59+'Financial Statements'!C55)-'Financial Statements'!C36</f>
        <v>3078482.66683</v>
      </c>
      <c r="E51" s="12">
        <f>+(('Financial Statements'!D28/1000)*'Financial Statements'!D29)+('Financial Statements'!D59+'Financial Statements'!D55)-'Financial Statements'!D36</f>
        <v>2395242.7156599998</v>
      </c>
      <c r="F51" s="12"/>
    </row>
    <row r="52" spans="1:6" x14ac:dyDescent="0.25">
      <c r="A52" s="18"/>
      <c r="B52" s="3"/>
    </row>
    <row r="53" spans="1:6" s="26" customFormat="1" x14ac:dyDescent="0.25"/>
    <row r="54" spans="1:6" x14ac:dyDescent="0.25">
      <c r="C54" s="29" t="s">
        <v>23</v>
      </c>
      <c r="D54" s="29"/>
      <c r="E54" s="29"/>
    </row>
    <row r="55" spans="1:6" x14ac:dyDescent="0.25">
      <c r="B55" s="17" t="s">
        <v>149</v>
      </c>
      <c r="C55" s="7">
        <f>+'Financial Statements'!B4</f>
        <v>2022</v>
      </c>
      <c r="D55" s="7">
        <f>+'Financial Statements'!C4</f>
        <v>2021</v>
      </c>
      <c r="E55" s="7">
        <f>+'Financial Statements'!D4</f>
        <v>2020</v>
      </c>
    </row>
    <row r="56" spans="1:6" x14ac:dyDescent="0.25">
      <c r="B56" s="11" t="s">
        <v>145</v>
      </c>
    </row>
    <row r="57" spans="1:6" x14ac:dyDescent="0.25">
      <c r="B57" s="1" t="s">
        <v>4</v>
      </c>
      <c r="C57" s="23">
        <f>+('Financial Statements'!B6/'Financial Statements'!C6-1)</f>
        <v>6.3239764351428418E-2</v>
      </c>
      <c r="D57" s="23">
        <f>+('Financial Statements'!C6/'Financial Statements'!D6-1)</f>
        <v>0.34720743656765429</v>
      </c>
      <c r="F57" s="23"/>
    </row>
    <row r="58" spans="1:6" x14ac:dyDescent="0.25">
      <c r="B58" s="1" t="s">
        <v>5</v>
      </c>
      <c r="C58" s="23">
        <f>+('Financial Statements'!B7/'Financial Statements'!C7-1)</f>
        <v>0.14181951041286078</v>
      </c>
      <c r="D58" s="23">
        <f>+('Financial Statements'!C7/'Financial Statements'!D7-1)</f>
        <v>0.27259708376729663</v>
      </c>
    </row>
    <row r="59" spans="1:6" x14ac:dyDescent="0.25">
      <c r="B59" s="1"/>
      <c r="C59" s="23"/>
      <c r="D59" s="23"/>
    </row>
    <row r="60" spans="1:6" x14ac:dyDescent="0.25">
      <c r="B60" s="1" t="s">
        <v>89</v>
      </c>
      <c r="C60" s="23">
        <f>+('Financial Statements'!B13-'Financial Statements'!C13)/'Financial Statements'!C13</f>
        <v>0.11741997958596143</v>
      </c>
      <c r="D60" s="23">
        <f>+('Financial Statements'!C13-'Financial Statements'!D13)/'Financial Statements'!D13</f>
        <v>0.45619116582186819</v>
      </c>
    </row>
    <row r="61" spans="1:6" x14ac:dyDescent="0.25">
      <c r="B61" s="1"/>
      <c r="C61" s="23"/>
      <c r="D61" s="23"/>
    </row>
    <row r="62" spans="1:6" x14ac:dyDescent="0.25">
      <c r="B62" s="11" t="s">
        <v>90</v>
      </c>
    </row>
    <row r="63" spans="1:6" x14ac:dyDescent="0.25">
      <c r="B63" t="s">
        <v>10</v>
      </c>
    </row>
    <row r="64" spans="1:6" x14ac:dyDescent="0.25">
      <c r="B64" s="1" t="s">
        <v>11</v>
      </c>
      <c r="C64" s="23">
        <f>+('Financial Statements'!B15-'Financial Statements'!C15)/'Financial Statements'!C15</f>
        <v>0.19791001186456147</v>
      </c>
      <c r="D64" s="23">
        <f>+('Financial Statements'!C15-'Financial Statements'!D15)/'Financial Statements'!D15</f>
        <v>0.16862201365187712</v>
      </c>
    </row>
    <row r="65" spans="2:5" x14ac:dyDescent="0.25">
      <c r="B65" s="1" t="s">
        <v>12</v>
      </c>
      <c r="C65" s="23">
        <f>+('Financial Statements'!B16-'Financial Statements'!C16)/'Financial Statements'!C16</f>
        <v>0.14203795567287125</v>
      </c>
      <c r="D65" s="23">
        <f>+('Financial Statements'!C16-'Financial Statements'!D16)/'Financial Statements'!D16</f>
        <v>0.10328379192608958</v>
      </c>
    </row>
    <row r="66" spans="2:5" x14ac:dyDescent="0.25">
      <c r="B66" s="1"/>
      <c r="C66" s="23"/>
      <c r="D66" s="23"/>
    </row>
    <row r="67" spans="2:5" x14ac:dyDescent="0.25">
      <c r="B67" s="11" t="s">
        <v>91</v>
      </c>
    </row>
    <row r="68" spans="2:5" x14ac:dyDescent="0.25">
      <c r="B68" t="s">
        <v>34</v>
      </c>
    </row>
    <row r="69" spans="2:5" x14ac:dyDescent="0.25">
      <c r="B69" s="1" t="s">
        <v>35</v>
      </c>
      <c r="C69" s="23">
        <f>+('Financial Statements'!B51-'Financial Statements'!C51)/'Financial Statements'!C51</f>
        <v>0.17077223672917846</v>
      </c>
      <c r="D69" s="23">
        <f>+('Financial Statements'!C51-'Financial Statements'!D51)/'Financial Statements'!D51</f>
        <v>0.29475600529600909</v>
      </c>
    </row>
    <row r="70" spans="2:5" x14ac:dyDescent="0.25">
      <c r="B70" s="1" t="s">
        <v>36</v>
      </c>
      <c r="C70" s="23">
        <f>+('Financial Statements'!B52-'Financial Statements'!C52)/'Financial Statements'!C52</f>
        <v>0.28113616743520098</v>
      </c>
      <c r="D70" s="23">
        <f>+('Financial Statements'!C52-'Financial Statements'!D52)/'Financial Statements'!D52</f>
        <v>0.1126651672757942</v>
      </c>
    </row>
    <row r="71" spans="2:5" x14ac:dyDescent="0.25">
      <c r="B71" s="1" t="s">
        <v>37</v>
      </c>
      <c r="C71" s="23">
        <f>+('Financial Statements'!B53-'Financial Statements'!C53)/'Financial Statements'!C53</f>
        <v>3.9411455596426698E-2</v>
      </c>
      <c r="D71" s="23">
        <f>+('Financial Statements'!C53-'Financial Statements'!D53)/'Financial Statements'!D53</f>
        <v>0.14586783079933766</v>
      </c>
    </row>
    <row r="72" spans="2:5" x14ac:dyDescent="0.25">
      <c r="B72" s="1" t="s">
        <v>38</v>
      </c>
      <c r="C72" s="23">
        <f>+('Financial Statements'!B54-'Financial Statements'!C54)/'Financial Statements'!C54</f>
        <v>0.66366666666666663</v>
      </c>
      <c r="D72" s="23">
        <f>+('Financial Statements'!C54-'Financial Statements'!D54)/'Financial Statements'!D54</f>
        <v>0.20096076861489193</v>
      </c>
    </row>
    <row r="73" spans="2:5" x14ac:dyDescent="0.25">
      <c r="B73" s="1" t="s">
        <v>39</v>
      </c>
      <c r="C73" s="23">
        <f>+('Financial Statements'!B55-'Financial Statements'!C55)/'Financial Statements'!C55</f>
        <v>0.15759908457297409</v>
      </c>
      <c r="D73" s="23">
        <f>+('Financial Statements'!C55-'Financial Statements'!D55)/'Financial Statements'!D55</f>
        <v>9.5748318705117977E-2</v>
      </c>
    </row>
    <row r="74" spans="2:5" x14ac:dyDescent="0.25">
      <c r="B74" t="s">
        <v>51</v>
      </c>
      <c r="C74" s="23"/>
      <c r="D74" s="23"/>
    </row>
    <row r="75" spans="2:5" x14ac:dyDescent="0.25">
      <c r="B75" s="1" t="s">
        <v>39</v>
      </c>
      <c r="C75" s="23">
        <f>+('Financial Statements'!B59-'Financial Statements'!C59)/'Financial Statements'!C59</f>
        <v>-9.3001301486627677E-2</v>
      </c>
      <c r="D75" s="23">
        <f>+('Financial Statements'!C59-'Financial Statements'!D59)/'Financial Statements'!D59</f>
        <v>0.1058003182421681</v>
      </c>
    </row>
    <row r="76" spans="2:5" x14ac:dyDescent="0.25">
      <c r="B76" s="1" t="s">
        <v>52</v>
      </c>
      <c r="C76" s="23">
        <f>+('Financial Statements'!B60-'Financial Statements'!C60)/'Financial Statements'!C60</f>
        <v>-7.8443506797937171E-2</v>
      </c>
      <c r="D76" s="23">
        <f>+('Financial Statements'!C60-'Financial Statements'!D60)/'Financial Statements'!D60</f>
        <v>-2.1380069737566527E-2</v>
      </c>
    </row>
    <row r="78" spans="2:5" s="26" customFormat="1" x14ac:dyDescent="0.25"/>
    <row r="79" spans="2:5" x14ac:dyDescent="0.25">
      <c r="C79" s="29" t="s">
        <v>23</v>
      </c>
      <c r="D79" s="29"/>
      <c r="E79" s="29"/>
    </row>
    <row r="80" spans="2:5" x14ac:dyDescent="0.25">
      <c r="B80" s="17" t="s">
        <v>92</v>
      </c>
      <c r="C80" s="7">
        <f>+'Financial Statements'!B4</f>
        <v>2022</v>
      </c>
      <c r="D80" s="7">
        <f>+'Financial Statements'!C4</f>
        <v>2021</v>
      </c>
      <c r="E80" s="7">
        <f>+'Financial Statements'!D4</f>
        <v>2020</v>
      </c>
    </row>
    <row r="81" spans="2:5" x14ac:dyDescent="0.25">
      <c r="B81" s="17"/>
      <c r="C81" s="7"/>
      <c r="D81" s="7"/>
      <c r="E81" s="7"/>
    </row>
    <row r="82" spans="2:5" x14ac:dyDescent="0.25">
      <c r="B82" s="1" t="s">
        <v>146</v>
      </c>
      <c r="C82" s="23">
        <f>+'Financial Statements'!B12/'Financial Statements'!B8</f>
        <v>0.56690369438639909</v>
      </c>
      <c r="D82" s="23">
        <f>+'Financial Statements'!C12/'Financial Statements'!C8</f>
        <v>0.58220640374832222</v>
      </c>
      <c r="E82" s="23">
        <f>+'Financial Statements'!D12/'Financial Statements'!D8</f>
        <v>0.61766752272189129</v>
      </c>
    </row>
    <row r="83" spans="2:5" x14ac:dyDescent="0.25">
      <c r="B83" s="1" t="s">
        <v>89</v>
      </c>
      <c r="C83" s="23">
        <f>+'Financial Statements'!B13/'Financial Statements'!B8</f>
        <v>0.43309630561360085</v>
      </c>
      <c r="D83" s="23">
        <f>+'Financial Statements'!C13/'Financial Statements'!C8</f>
        <v>0.41779359625167778</v>
      </c>
      <c r="E83" s="23">
        <f>+'Financial Statements'!D13/'Financial Statements'!D8</f>
        <v>0.38233247727810865</v>
      </c>
    </row>
    <row r="84" spans="2:5" x14ac:dyDescent="0.25">
      <c r="B84" s="1"/>
      <c r="C84" s="23"/>
      <c r="D84" s="23"/>
      <c r="E84" s="23"/>
    </row>
    <row r="85" spans="2:5" x14ac:dyDescent="0.25">
      <c r="B85" s="1" t="s">
        <v>90</v>
      </c>
      <c r="C85" s="23"/>
      <c r="D85" s="23"/>
      <c r="E85" s="23"/>
    </row>
    <row r="86" spans="2:5" x14ac:dyDescent="0.25">
      <c r="B86" s="1" t="s">
        <v>11</v>
      </c>
      <c r="C86" s="23">
        <f>+'Financial Statements'!B15/'Financial Statements'!B$8</f>
        <v>6.657148363798665E-2</v>
      </c>
      <c r="D86" s="23">
        <f>+'Financial Statements'!C15/'Financial Statements'!C$8</f>
        <v>5.9904269074427925E-2</v>
      </c>
      <c r="E86" s="23">
        <f>+'Financial Statements'!D15/'Financial Statements'!D$8</f>
        <v>6.8309564140393061E-2</v>
      </c>
    </row>
    <row r="87" spans="2:5" x14ac:dyDescent="0.25">
      <c r="B87" s="1" t="s">
        <v>12</v>
      </c>
      <c r="C87" s="23">
        <f>+'Financial Statements'!B16/'Financial Statements'!B$8</f>
        <v>6.3637378020328261E-2</v>
      </c>
      <c r="D87" s="23">
        <f>+'Financial Statements'!C16/'Financial Statements'!C$8</f>
        <v>6.006555190163388E-2</v>
      </c>
      <c r="E87" s="23">
        <f>+'Financial Statements'!D16/'Financial Statements'!D$8</f>
        <v>7.2549769593646979E-2</v>
      </c>
    </row>
    <row r="88" spans="2:5" x14ac:dyDescent="0.25">
      <c r="B88" s="1"/>
      <c r="C88" s="23"/>
      <c r="D88" s="23"/>
      <c r="E88" s="23"/>
    </row>
    <row r="89" spans="2:5" x14ac:dyDescent="0.25">
      <c r="B89" s="1" t="s">
        <v>14</v>
      </c>
      <c r="C89" s="23">
        <f>+'Financial Statements'!B18/'Financial Statements'!B$8</f>
        <v>0.30288744395528594</v>
      </c>
      <c r="D89" s="23">
        <f>+'Financial Statements'!C18/'Financial Statements'!C$8</f>
        <v>0.29782377527561593</v>
      </c>
      <c r="E89" s="23">
        <f>+'Financial Statements'!D18/'Financial Statements'!D$8</f>
        <v>0.24147314354406862</v>
      </c>
    </row>
    <row r="90" spans="2:5" x14ac:dyDescent="0.25">
      <c r="B90" s="1" t="s">
        <v>93</v>
      </c>
      <c r="C90" s="23">
        <f>+'Financial Statements'!B22/'Financial Statements'!B$8</f>
        <v>0.25309640705199732</v>
      </c>
      <c r="D90" s="23">
        <f>+'Financial Statements'!C22/'Financial Statements'!C$8</f>
        <v>0.25881793355694238</v>
      </c>
      <c r="E90" s="23">
        <f>+'Financial Statements'!D22/'Financial Statements'!D$8</f>
        <v>0.20913611278072236</v>
      </c>
    </row>
    <row r="92" spans="2:5" s="26" customFormat="1" x14ac:dyDescent="0.25"/>
    <row r="93" spans="2:5" x14ac:dyDescent="0.25">
      <c r="C93" s="29" t="s">
        <v>23</v>
      </c>
      <c r="D93" s="29"/>
      <c r="E93" s="29"/>
    </row>
    <row r="94" spans="2:5" x14ac:dyDescent="0.25">
      <c r="B94" s="17" t="s">
        <v>98</v>
      </c>
      <c r="C94" s="7">
        <f>+'Financial Statements'!B4</f>
        <v>2022</v>
      </c>
      <c r="D94" s="7">
        <f>+'Financial Statements'!C4</f>
        <v>2021</v>
      </c>
      <c r="E94" s="7">
        <f>+'Financial Statements'!D4</f>
        <v>2020</v>
      </c>
    </row>
    <row r="95" spans="2:5" x14ac:dyDescent="0.25">
      <c r="B95" s="1" t="s">
        <v>94</v>
      </c>
      <c r="C95" s="23">
        <f>+'Financial Statements'!B113/'Financial Statements'!B20</f>
        <v>0.1643367505436471</v>
      </c>
      <c r="D95" s="23">
        <f>+'Financial Statements'!C113/'Financial Statements'!C20</f>
        <v>0.23244846942045841</v>
      </c>
      <c r="E95" s="23">
        <f>+'Financial Statements'!D113/'Financial Statements'!D20</f>
        <v>0.14161362924982487</v>
      </c>
    </row>
    <row r="96" spans="2:5" x14ac:dyDescent="0.25">
      <c r="B96" s="1" t="s">
        <v>95</v>
      </c>
      <c r="C96" s="23">
        <f>+-'Financial Statements'!B96/'Financial Statements'!B8</f>
        <v>2.7155058732831552E-2</v>
      </c>
      <c r="D96" s="23">
        <f>+-'Financial Statements'!C96/'Financial Statements'!C8</f>
        <v>3.0302036264033657E-2</v>
      </c>
      <c r="E96" s="23">
        <f>+-'Financial Statements'!D96/'Financial Statements'!D8</f>
        <v>2.6625138881299748E-2</v>
      </c>
    </row>
    <row r="97" spans="2:5" x14ac:dyDescent="0.25">
      <c r="B97" s="1" t="s">
        <v>96</v>
      </c>
      <c r="C97" s="23">
        <f>+-'Financial Statements'!B96/'Financial Statements'!B45</f>
        <v>0.25424412944891611</v>
      </c>
      <c r="D97" s="23">
        <f>+-'Financial Statements'!C96/'Financial Statements'!C45</f>
        <v>0.28105983772819471</v>
      </c>
      <c r="E97" s="23">
        <f>+-'Financial Statements'!D96/'Financial Statements'!D45</f>
        <v>0.19879780231735844</v>
      </c>
    </row>
  </sheetData>
  <mergeCells count="4">
    <mergeCell ref="C2:E2"/>
    <mergeCell ref="C54:E54"/>
    <mergeCell ref="C79:E79"/>
    <mergeCell ref="C93:E9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Info Fintec</cp:lastModifiedBy>
  <dcterms:created xsi:type="dcterms:W3CDTF">2020-05-18T16:32:37Z</dcterms:created>
  <dcterms:modified xsi:type="dcterms:W3CDTF">2024-03-08T13:04:47Z</dcterms:modified>
</cp:coreProperties>
</file>