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My Drive\Documents\Education\Quill Capital - Investment Analyst\"/>
    </mc:Choice>
  </mc:AlternateContent>
  <xr:revisionPtr revIDLastSave="0" documentId="13_ncr:1_{4B6BF863-5DA1-44DE-BA9A-5536305CB88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  <workbookView xWindow="28680" yWindow="-120" windowWidth="29040" windowHeight="15840" activeTab="1" xr2:uid="{726EB6F0-1D2A-4F28-84B1-C2BDABD1444B}"/>
  </bookViews>
  <sheets>
    <sheet name="Instructions" sheetId="1" r:id="rId1"/>
    <sheet name="Financial Statements" sheetId="2" r:id="rId2"/>
    <sheet name="List of Ratios" sheetId="3" r:id="rId3"/>
  </sheets>
  <definedNames>
    <definedName name="_xlnm._FilterDatabase" localSheetId="1" hidden="1">'Financial Statements'!$A$4:$I$129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3" l="1"/>
  <c r="D29" i="3"/>
  <c r="E29" i="3"/>
  <c r="F22" i="2"/>
  <c r="G126" i="2"/>
  <c r="F126" i="2"/>
  <c r="G124" i="2"/>
  <c r="F124" i="2"/>
  <c r="G122" i="2"/>
  <c r="F122" i="2"/>
  <c r="G121" i="2"/>
  <c r="F121" i="2"/>
  <c r="G120" i="2"/>
  <c r="F120" i="2"/>
  <c r="G119" i="2"/>
  <c r="F119" i="2"/>
  <c r="G118" i="2"/>
  <c r="F118" i="2"/>
  <c r="G117" i="2"/>
  <c r="F117" i="2"/>
  <c r="G112" i="2"/>
  <c r="F112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99" i="2"/>
  <c r="F99" i="2"/>
  <c r="G98" i="2"/>
  <c r="F98" i="2"/>
  <c r="G97" i="2"/>
  <c r="F97" i="2"/>
  <c r="G96" i="2"/>
  <c r="F96" i="2"/>
  <c r="G95" i="2"/>
  <c r="F95" i="2"/>
  <c r="G91" i="2"/>
  <c r="F91" i="2"/>
  <c r="G90" i="2"/>
  <c r="F90" i="2"/>
  <c r="G89" i="2"/>
  <c r="F89" i="2"/>
  <c r="G88" i="2"/>
  <c r="F88" i="2"/>
  <c r="G87" i="2"/>
  <c r="F87" i="2"/>
  <c r="G85" i="2"/>
  <c r="F85" i="2"/>
  <c r="G84" i="2"/>
  <c r="F84" i="2"/>
  <c r="G83" i="2"/>
  <c r="F83" i="2"/>
  <c r="G82" i="2"/>
  <c r="F82" i="2"/>
  <c r="G61" i="2"/>
  <c r="F61" i="2"/>
  <c r="G60" i="2"/>
  <c r="F60" i="2"/>
  <c r="G59" i="2"/>
  <c r="F59" i="2"/>
  <c r="G56" i="2"/>
  <c r="F56" i="2"/>
  <c r="G55" i="2"/>
  <c r="F55" i="2"/>
  <c r="G54" i="2"/>
  <c r="F54" i="2"/>
  <c r="G49" i="2"/>
  <c r="F49" i="2"/>
  <c r="G48" i="2"/>
  <c r="F48" i="2"/>
  <c r="G47" i="2"/>
  <c r="F47" i="2"/>
  <c r="G46" i="2"/>
  <c r="F46" i="2"/>
  <c r="G43" i="2"/>
  <c r="F43" i="2"/>
  <c r="G42" i="2"/>
  <c r="F42" i="2"/>
  <c r="G41" i="2"/>
  <c r="F41" i="2"/>
  <c r="G40" i="2"/>
  <c r="F40" i="2"/>
  <c r="G25" i="2"/>
  <c r="F25" i="2"/>
  <c r="G24" i="2"/>
  <c r="F24" i="2"/>
  <c r="G22" i="2"/>
  <c r="G21" i="2"/>
  <c r="F21" i="2"/>
  <c r="G20" i="2"/>
  <c r="F20" i="2"/>
  <c r="G17" i="2"/>
  <c r="F17" i="2"/>
  <c r="G16" i="2"/>
  <c r="F16" i="2"/>
  <c r="G15" i="2"/>
  <c r="F15" i="2"/>
  <c r="G14" i="2"/>
  <c r="F14" i="2"/>
  <c r="G13" i="2"/>
  <c r="F13" i="2"/>
  <c r="F9" i="2"/>
  <c r="G9" i="2"/>
  <c r="F6" i="2"/>
  <c r="G6" i="2"/>
  <c r="F7" i="2"/>
  <c r="G7" i="2"/>
  <c r="G8" i="2"/>
  <c r="F8" i="2"/>
  <c r="A44" i="3"/>
  <c r="A45" i="3"/>
  <c r="A46" i="3"/>
  <c r="A47" i="3"/>
  <c r="A48" i="3"/>
  <c r="A49" i="3"/>
  <c r="A50" i="3"/>
  <c r="F32" i="2" l="1"/>
  <c r="E35" i="3"/>
  <c r="D35" i="3"/>
  <c r="C35" i="3"/>
  <c r="E27" i="3"/>
  <c r="E25" i="3"/>
  <c r="E43" i="3"/>
  <c r="E42" i="3" s="1"/>
  <c r="E51" i="3"/>
  <c r="D51" i="3"/>
  <c r="C51" i="3"/>
  <c r="E47" i="3"/>
  <c r="H32" i="2"/>
  <c r="G32" i="2"/>
  <c r="E41" i="3"/>
  <c r="E40" i="3" s="1"/>
  <c r="D41" i="3"/>
  <c r="D40" i="3" s="1"/>
  <c r="C41" i="3"/>
  <c r="C40" i="3" s="1"/>
  <c r="E11" i="3"/>
  <c r="D11" i="3"/>
  <c r="C11" i="3"/>
  <c r="E9" i="3"/>
  <c r="D9" i="3"/>
  <c r="C9" i="3"/>
  <c r="E7" i="3"/>
  <c r="D7" i="3"/>
  <c r="C7" i="3"/>
  <c r="D111" i="2" l="1"/>
  <c r="C111" i="2"/>
  <c r="B111" i="2"/>
  <c r="D101" i="2"/>
  <c r="C101" i="2"/>
  <c r="B101" i="2"/>
  <c r="D62" i="2" l="1"/>
  <c r="C62" i="2"/>
  <c r="B62" i="2"/>
  <c r="C71" i="2"/>
  <c r="B71" i="2"/>
  <c r="B57" i="2"/>
  <c r="D57" i="2"/>
  <c r="C57" i="2"/>
  <c r="B44" i="2"/>
  <c r="C44" i="2"/>
  <c r="D50" i="2"/>
  <c r="C50" i="2"/>
  <c r="B50" i="2"/>
  <c r="F50" i="2" s="1"/>
  <c r="D44" i="2"/>
  <c r="D18" i="2"/>
  <c r="E8" i="3" s="1"/>
  <c r="C18" i="2"/>
  <c r="B18" i="2"/>
  <c r="D10" i="2"/>
  <c r="C10" i="2"/>
  <c r="B10" i="2"/>
  <c r="G62" i="2" l="1"/>
  <c r="C63" i="2"/>
  <c r="G57" i="2"/>
  <c r="C43" i="3"/>
  <c r="C42" i="3" s="1"/>
  <c r="C47" i="3"/>
  <c r="C25" i="3"/>
  <c r="C27" i="3"/>
  <c r="E5" i="3"/>
  <c r="E6" i="3"/>
  <c r="E14" i="3"/>
  <c r="E13" i="3" s="1"/>
  <c r="G50" i="2"/>
  <c r="D47" i="3"/>
  <c r="D25" i="3"/>
  <c r="D27" i="3"/>
  <c r="D43" i="3"/>
  <c r="D42" i="3" s="1"/>
  <c r="G18" i="2"/>
  <c r="D8" i="3"/>
  <c r="F57" i="2"/>
  <c r="F62" i="2"/>
  <c r="B11" i="2"/>
  <c r="F10" i="2"/>
  <c r="C10" i="3"/>
  <c r="C12" i="3" s="1"/>
  <c r="C36" i="3"/>
  <c r="C11" i="2"/>
  <c r="C19" i="2" s="1"/>
  <c r="G10" i="2"/>
  <c r="D36" i="3"/>
  <c r="D10" i="3"/>
  <c r="D12" i="3" s="1"/>
  <c r="D11" i="2"/>
  <c r="E17" i="3" s="1"/>
  <c r="E36" i="3"/>
  <c r="E10" i="3"/>
  <c r="E12" i="3" s="1"/>
  <c r="G44" i="2"/>
  <c r="D5" i="3"/>
  <c r="D6" i="3"/>
  <c r="D14" i="3"/>
  <c r="D13" i="3" s="1"/>
  <c r="F18" i="2"/>
  <c r="C8" i="3"/>
  <c r="F44" i="2"/>
  <c r="C5" i="3"/>
  <c r="C14" i="3"/>
  <c r="C13" i="3" s="1"/>
  <c r="C6" i="3"/>
  <c r="D63" i="2"/>
  <c r="D72" i="2" s="1"/>
  <c r="B63" i="2"/>
  <c r="F63" i="2" s="1"/>
  <c r="C72" i="2"/>
  <c r="D51" i="2"/>
  <c r="B51" i="2"/>
  <c r="C51" i="2"/>
  <c r="B72" i="2" l="1"/>
  <c r="G51" i="2"/>
  <c r="D34" i="3"/>
  <c r="D26" i="3"/>
  <c r="F51" i="2"/>
  <c r="C26" i="3"/>
  <c r="C34" i="3"/>
  <c r="G11" i="2"/>
  <c r="D17" i="3"/>
  <c r="E26" i="3"/>
  <c r="E34" i="3"/>
  <c r="F11" i="2"/>
  <c r="C17" i="3"/>
  <c r="B19" i="2"/>
  <c r="C23" i="2"/>
  <c r="D19" i="3"/>
  <c r="D28" i="3"/>
  <c r="D21" i="3"/>
  <c r="D20" i="3" s="1"/>
  <c r="D48" i="3"/>
  <c r="D19" i="2"/>
  <c r="G19" i="2" s="1"/>
  <c r="G63" i="2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D18" i="3" l="1"/>
  <c r="D50" i="3"/>
  <c r="C26" i="2"/>
  <c r="D23" i="2"/>
  <c r="D26" i="2" s="1"/>
  <c r="E28" i="3"/>
  <c r="E21" i="3"/>
  <c r="E20" i="3" s="1"/>
  <c r="E19" i="3"/>
  <c r="E48" i="3"/>
  <c r="B23" i="2"/>
  <c r="F19" i="2"/>
  <c r="C19" i="3"/>
  <c r="C28" i="3"/>
  <c r="C21" i="3"/>
  <c r="C20" i="3" s="1"/>
  <c r="C48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D80" i="2" l="1"/>
  <c r="D93" i="2" s="1"/>
  <c r="E37" i="3"/>
  <c r="E22" i="3"/>
  <c r="E49" i="3"/>
  <c r="G23" i="2"/>
  <c r="B26" i="2"/>
  <c r="F23" i="2"/>
  <c r="C80" i="2"/>
  <c r="G26" i="2"/>
  <c r="D37" i="3"/>
  <c r="D49" i="3"/>
  <c r="D22" i="3"/>
  <c r="E18" i="3"/>
  <c r="E50" i="3"/>
  <c r="C18" i="3"/>
  <c r="C50" i="3"/>
  <c r="A34" i="3"/>
  <c r="A35" i="3" s="1"/>
  <c r="A36" i="3" s="1"/>
  <c r="A37" i="3" s="1"/>
  <c r="A39" i="3"/>
  <c r="A40" i="3" s="1"/>
  <c r="A41" i="3" s="1"/>
  <c r="A42" i="3" s="1"/>
  <c r="A43" i="3" s="1"/>
  <c r="C93" i="2" l="1"/>
  <c r="G80" i="2"/>
  <c r="B80" i="2"/>
  <c r="F26" i="2"/>
  <c r="C37" i="3"/>
  <c r="C22" i="3"/>
  <c r="C49" i="3"/>
  <c r="D113" i="2"/>
  <c r="E31" i="3"/>
  <c r="E30" i="3" s="1"/>
  <c r="B93" i="2" l="1"/>
  <c r="F80" i="2"/>
  <c r="C113" i="2"/>
  <c r="D31" i="3"/>
  <c r="D30" i="3" s="1"/>
  <c r="B113" i="2" l="1"/>
  <c r="C31" i="3"/>
  <c r="C30" i="3" s="1"/>
</calcChain>
</file>

<file path=xl/sharedStrings.xml><?xml version="1.0" encoding="utf-8"?>
<sst xmlns="http://schemas.openxmlformats.org/spreadsheetml/2006/main" count="183" uniqueCount="172">
  <si>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</si>
  <si>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</si>
  <si>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</si>
  <si>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</si>
  <si>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</si>
  <si>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</si>
  <si>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</si>
  <si>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</si>
  <si>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</si>
  <si>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</si>
  <si>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</si>
  <si>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</si>
  <si>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</si>
  <si>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</si>
  <si>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</si>
  <si>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</si>
  <si>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</si>
  <si>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</si>
  <si>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</si>
  <si>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</si>
  <si>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</si>
  <si>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</si>
  <si>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</si>
  <si>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</si>
  <si>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</si>
  <si>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</si>
  <si>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</si>
  <si>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</si>
  <si>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</si>
  <si>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</si>
  <si>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</si>
  <si>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</si>
  <si>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</si>
  <si>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</si>
  <si>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</si>
  <si>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</si>
  <si>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</si>
  <si>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</si>
  <si>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</si>
  <si>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</si>
  <si>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</si>
  <si>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</si>
  <si>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</si>
  <si>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</si>
  <si>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</si>
  <si>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</si>
  <si>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</si>
  <si>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</si>
  <si>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</si>
  <si>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</si>
  <si>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</si>
  <si>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</si>
  <si>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</si>
  <si>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</si>
  <si>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</si>
  <si>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</si>
  <si>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</si>
  <si>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</si>
  <si>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</si>
  <si>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</si>
  <si>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</si>
  <si>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</si>
  <si>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</si>
  <si>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</si>
  <si>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</si>
  <si>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</si>
  <si>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</si>
  <si>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</si>
  <si>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</si>
  <si>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</si>
  <si>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</si>
  <si>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</si>
  <si>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</si>
  <si>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</si>
  <si>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</si>
  <si>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</si>
  <si>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</si>
  <si>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</si>
  <si>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Share Price at end of Year</t>
  </si>
  <si>
    <t>Current assets:</t>
  </si>
  <si>
    <t>Cash and cash equivalents</t>
  </si>
  <si>
    <t>Marketable securities</t>
  </si>
  <si>
    <t>Inventories</t>
  </si>
  <si>
    <t>Total current assets</t>
  </si>
  <si>
    <t>Non current assets:</t>
  </si>
  <si>
    <t>Total non current assets</t>
  </si>
  <si>
    <t>Total assets</t>
  </si>
  <si>
    <t>Current liabilities:</t>
  </si>
  <si>
    <t>Accounts payable</t>
  </si>
  <si>
    <t>Total current liabilities</t>
  </si>
  <si>
    <t>Non current liabilities:</t>
  </si>
  <si>
    <t>Total non current liabilities</t>
  </si>
  <si>
    <t>Total liabilities</t>
  </si>
  <si>
    <t>Shareholders’ equity:</t>
  </si>
  <si>
    <t>Retained earnings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</si>
  <si>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</si>
  <si>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</si>
  <si>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</si>
  <si>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</si>
  <si>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</si>
  <si>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</si>
  <si>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</si>
  <si>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Changes in operating assets and liabilities:</t>
  </si>
  <si>
    <t>Cash generated by operating activities</t>
  </si>
  <si>
    <t>Investing activities:</t>
  </si>
  <si>
    <t>Purchases of marketable securities</t>
  </si>
  <si>
    <t>Cash generated by/(used in) investing activities</t>
  </si>
  <si>
    <t>Financing activities: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</si>
  <si>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</si>
  <si>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</si>
  <si>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</si>
  <si>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</si>
  <si>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Fulfillment</t>
  </si>
  <si>
    <t>Technology and content</t>
  </si>
  <si>
    <t>Sales and marketing</t>
  </si>
  <si>
    <t>General and administrative</t>
  </si>
  <si>
    <t>Other operating expense (income), net</t>
  </si>
  <si>
    <t>Interest income</t>
  </si>
  <si>
    <t>Interest expense</t>
  </si>
  <si>
    <t>Equity-method investment activity, net of tax</t>
  </si>
  <si>
    <t>Accounts receivable, net and other</t>
  </si>
  <si>
    <t>Property and equipment, net</t>
  </si>
  <si>
    <t>Operating leases</t>
  </si>
  <si>
    <t>Goodwill</t>
  </si>
  <si>
    <t>Other assets</t>
  </si>
  <si>
    <t>Accrued expenses and other</t>
  </si>
  <si>
    <t>Unearned revenue</t>
  </si>
  <si>
    <t>Long-term lease liabilities</t>
  </si>
  <si>
    <t>Long-term debt</t>
  </si>
  <si>
    <t>Other long-term liabilities</t>
  </si>
  <si>
    <t>Common stock ($0.01 par value; 100,000 shares authorized; 10,644 and 10,757 shares issued; 10,175 and 10,242 shares outstanding)</t>
  </si>
  <si>
    <t>Treasury stock, at cost</t>
  </si>
  <si>
    <t>Additional paid-in capital</t>
  </si>
  <si>
    <t>Accumulated other comprehensive income (loss)</t>
  </si>
  <si>
    <t>Net income (loss)</t>
  </si>
  <si>
    <t>Other expense (income), net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</si>
  <si>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</si>
  <si>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</si>
  <si>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</si>
  <si>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</si>
  <si>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Principal repayments of financing obligations</t>
  </si>
  <si>
    <t>Principal repayments of finance leases</t>
  </si>
  <si>
    <t>Repayments of long-term debt</t>
  </si>
  <si>
    <t>Proceeds from long-term debt</t>
  </si>
  <si>
    <t>Repayments of short-term debt, and other</t>
  </si>
  <si>
    <t>Proceeds from short-term debt, and other</t>
  </si>
  <si>
    <t>Common stock repurchased</t>
  </si>
  <si>
    <t>Foreign currency effect on cash, cash equivalents, and restricted cash</t>
  </si>
  <si>
    <t>Deferred income taxes</t>
  </si>
  <si>
    <t>Cash paid for interest on debt</t>
  </si>
  <si>
    <t>Cash paid for operating leases</t>
  </si>
  <si>
    <t>Cash paid for interest on finance leases</t>
  </si>
  <si>
    <t>Cash paid for interest on financing obligations</t>
  </si>
  <si>
    <t>Cash paid for income taxes, net of refunds</t>
  </si>
  <si>
    <t>Assets acquired under operating leases</t>
  </si>
  <si>
    <t>Property and equipment acquired under finance leases,</t>
  </si>
  <si>
    <t>net of remeasurements and modifications</t>
  </si>
  <si>
    <t>Property and equipment recognized during the</t>
  </si>
  <si>
    <t>construction period of build-to-suit lease arrangements</t>
  </si>
  <si>
    <t>Property and equipment derecognized after the</t>
  </si>
  <si>
    <t>construction period of build-to-suit lease arrangements,</t>
  </si>
  <si>
    <t>with the associated leases recognized as operating</t>
  </si>
  <si>
    <t>1. Liquidity Ratio</t>
  </si>
  <si>
    <t>2. Profitability Ratio</t>
  </si>
  <si>
    <t>3. Solvency Ratio</t>
  </si>
  <si>
    <t>4. Turnover Ratio</t>
  </si>
  <si>
    <t>5. Market Ratios</t>
  </si>
  <si>
    <t>Objective of the report, then briefly explain company's description.</t>
  </si>
  <si>
    <t>Do financial health analysis of the company calculating the following ratios:</t>
  </si>
  <si>
    <t>Amazon</t>
  </si>
  <si>
    <t>Asset utilisation</t>
  </si>
  <si>
    <t>Variances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</si>
</sst>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3" xfId="0" applyFont="1" applyBorder="1" applyAlignment="1">
      <alignment horizontal="left"/>
    </xf>
    <xf numFmtId="165" fontId="0" fillId="0" borderId="3" xfId="1" applyNumberFormat="1" applyFont="1" applyBorder="1"/>
    <xf numFmtId="165" fontId="2" fillId="0" borderId="0" xfId="1" applyNumberFormat="1" applyFont="1" applyBorder="1"/>
    <xf numFmtId="165" fontId="0" fillId="0" borderId="0" xfId="0" applyNumberFormat="1"/>
    <xf numFmtId="43" fontId="0" fillId="0" borderId="0" xfId="0" applyNumberFormat="1"/>
    <xf numFmtId="164" fontId="0" fillId="0" borderId="0" xfId="1" applyFont="1"/>
    <xf numFmtId="9" fontId="0" fillId="0" borderId="0" xfId="3" applyFont="1"/>
    <xf numFmtId="10" fontId="0" fillId="0" borderId="0" xfId="3" applyNumberFormat="1" applyFont="1"/>
    <xf numFmtId="0" fontId="0" fillId="5" borderId="0" xfId="0" applyFill="1"/>
    <xf numFmtId="164" fontId="0" fillId="5" borderId="0" xfId="1" applyFont="1" applyFill="1"/>
    <xf numFmtId="165" fontId="0" fillId="5" borderId="0" xfId="1" applyNumberFormat="1" applyFont="1" applyFill="1"/>
    <xf numFmtId="0" fontId="8" fillId="0" borderId="0" xfId="0" applyFont="1"/>
    <xf numFmtId="0" fontId="9" fillId="0" borderId="0" xfId="0" applyFont="1"/>
    <xf numFmtId="9" fontId="0" fillId="5" borderId="0" xfId="3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19" sqref="A19"/>
    </sheetView>
    <sheetView workbookViewId="1"/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60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58</v>
      </c>
    </row>
    <row r="8" spans="1:1" x14ac:dyDescent="0.25">
      <c r="A8" s="2" t="s">
        <v>59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0"/>
  <sheetViews>
    <sheetView topLeftCell="A19" zoomScale="95" workbookViewId="0">
      <selection activeCell="B19" sqref="B19"/>
    </sheetView>
    <sheetView tabSelected="1" topLeftCell="A87" workbookViewId="1">
      <selection activeCell="C117" sqref="C117"/>
    </sheetView>
  </sheetViews>
  <sheetFormatPr defaultRowHeight="15" x14ac:dyDescent="0.25"/>
  <cols>
    <col min="1" max="1" width="56.5703125" customWidth="1"/>
    <col min="2" max="3" width="11.5703125" bestFit="1" customWidth="1"/>
    <col min="4" max="4" width="11.7109375" bestFit="1" customWidth="1"/>
    <col min="6" max="8" width="10.28515625" bestFit="1" customWidth="1"/>
  </cols>
  <sheetData>
    <row r="1" spans="1:9" ht="60" customHeight="1" x14ac:dyDescent="0.25">
      <c r="A1" s="7" t="s">
        <v>169</v>
      </c>
      <c r="B1" s="8" t="s">
        <v>9</v>
      </c>
      <c r="C1" s="8"/>
      <c r="D1" s="8"/>
      <c r="E1" s="8"/>
      <c r="F1" s="8"/>
      <c r="G1" s="8"/>
      <c r="H1" s="8"/>
      <c r="I1" s="8"/>
    </row>
    <row r="2" spans="1:9" x14ac:dyDescent="0.25">
      <c r="A2" s="40" t="s">
        <v>10</v>
      </c>
      <c r="B2" s="40"/>
      <c r="C2" s="40"/>
      <c r="D2" s="40"/>
    </row>
    <row r="3" spans="1:9" x14ac:dyDescent="0.25">
      <c r="B3" s="41" t="s">
        <v>55</v>
      </c>
      <c r="C3" s="41"/>
      <c r="D3" s="41"/>
      <c r="F3" s="41" t="s">
        <v>171</v>
      </c>
      <c r="G3" s="41"/>
      <c r="H3" s="41"/>
    </row>
    <row r="4" spans="1:9" x14ac:dyDescent="0.25">
      <c r="B4" s="9">
        <v>2022</v>
      </c>
      <c r="C4" s="9">
        <v>2021</v>
      </c>
      <c r="D4" s="9">
        <v>2020</v>
      </c>
      <c r="F4" s="9">
        <v>2022</v>
      </c>
      <c r="G4" s="9">
        <v>2021</v>
      </c>
      <c r="H4" s="9"/>
    </row>
    <row r="5" spans="1:9" x14ac:dyDescent="0.25">
      <c r="A5" t="s">
        <v>61</v>
      </c>
    </row>
    <row r="6" spans="1:9" x14ac:dyDescent="0.25">
      <c r="A6" s="1" t="s">
        <v>62</v>
      </c>
      <c r="B6" s="10">
        <v>242901</v>
      </c>
      <c r="C6" s="10">
        <v>241787</v>
      </c>
      <c r="D6" s="10">
        <v>215915</v>
      </c>
      <c r="F6" s="32">
        <f t="shared" ref="F6:F7" si="0">+B6/C6-1</f>
        <v>4.6073610243726471E-3</v>
      </c>
      <c r="G6" s="32">
        <f t="shared" ref="G6:G7" si="1">+C6/D6-1</f>
        <v>0.11982493110714865</v>
      </c>
    </row>
    <row r="7" spans="1:9" x14ac:dyDescent="0.25">
      <c r="A7" s="1" t="s">
        <v>63</v>
      </c>
      <c r="B7" s="10">
        <v>271082</v>
      </c>
      <c r="C7" s="10">
        <v>228035</v>
      </c>
      <c r="D7" s="10">
        <v>170149</v>
      </c>
      <c r="F7" s="32">
        <f t="shared" si="0"/>
        <v>0.18877365316727701</v>
      </c>
      <c r="G7" s="32">
        <f t="shared" si="1"/>
        <v>0.34020770030972858</v>
      </c>
    </row>
    <row r="8" spans="1:9" x14ac:dyDescent="0.25">
      <c r="A8" s="11" t="s">
        <v>64</v>
      </c>
      <c r="B8" s="12">
        <v>513983</v>
      </c>
      <c r="C8" s="12">
        <v>469822</v>
      </c>
      <c r="D8" s="12">
        <v>386064</v>
      </c>
      <c r="F8" s="32">
        <f>+B8/C8-1</f>
        <v>9.399517263985091E-2</v>
      </c>
      <c r="G8" s="32">
        <f t="shared" ref="G8" si="2">+C8/D8-1</f>
        <v>0.21695366571345676</v>
      </c>
      <c r="H8" s="32"/>
    </row>
    <row r="9" spans="1:9" x14ac:dyDescent="0.25">
      <c r="A9" t="s">
        <v>65</v>
      </c>
      <c r="B9" s="10">
        <v>288831</v>
      </c>
      <c r="C9" s="10">
        <v>272344</v>
      </c>
      <c r="D9" s="10">
        <v>233307</v>
      </c>
      <c r="F9" s="32">
        <f t="shared" ref="F9:F11" si="3">+B9/C9-1</f>
        <v>6.0537408571512463E-2</v>
      </c>
      <c r="G9" s="32">
        <f t="shared" ref="G9:G11" si="4">+C9/D9-1</f>
        <v>0.16732031186376739</v>
      </c>
    </row>
    <row r="10" spans="1:9" x14ac:dyDescent="0.25">
      <c r="A10" s="11" t="s">
        <v>66</v>
      </c>
      <c r="B10" s="12">
        <f>+B9</f>
        <v>288831</v>
      </c>
      <c r="C10" s="12">
        <f t="shared" ref="C10:D10" si="5">+C9</f>
        <v>272344</v>
      </c>
      <c r="D10" s="12">
        <f t="shared" si="5"/>
        <v>233307</v>
      </c>
      <c r="F10" s="32">
        <f t="shared" si="3"/>
        <v>6.0537408571512463E-2</v>
      </c>
      <c r="G10" s="32">
        <f t="shared" si="4"/>
        <v>0.16732031186376739</v>
      </c>
    </row>
    <row r="11" spans="1:9" x14ac:dyDescent="0.25">
      <c r="A11" s="11" t="s">
        <v>11</v>
      </c>
      <c r="B11" s="12">
        <f>+B8-B10</f>
        <v>225152</v>
      </c>
      <c r="C11" s="12">
        <f t="shared" ref="C11:D11" si="6">+C8-C10</f>
        <v>197478</v>
      </c>
      <c r="D11" s="12">
        <f t="shared" si="6"/>
        <v>152757</v>
      </c>
      <c r="F11" s="32">
        <f t="shared" si="3"/>
        <v>0.14013712919920196</v>
      </c>
      <c r="G11" s="32">
        <f t="shared" si="4"/>
        <v>0.2927590879632358</v>
      </c>
    </row>
    <row r="12" spans="1:9" x14ac:dyDescent="0.25">
      <c r="A12" t="s">
        <v>67</v>
      </c>
      <c r="B12" s="10"/>
      <c r="C12" s="10"/>
      <c r="D12" s="10"/>
    </row>
    <row r="13" spans="1:9" x14ac:dyDescent="0.25">
      <c r="A13" t="s">
        <v>112</v>
      </c>
      <c r="B13" s="10">
        <v>84299</v>
      </c>
      <c r="C13" s="10">
        <v>75111</v>
      </c>
      <c r="D13" s="10">
        <v>58517</v>
      </c>
      <c r="F13" s="32">
        <f t="shared" ref="F13:F26" si="7">+B13/C13-1</f>
        <v>0.12232562474204833</v>
      </c>
      <c r="G13" s="32">
        <f t="shared" ref="G13:G26" si="8">+C13/D13-1</f>
        <v>0.28357571304065488</v>
      </c>
    </row>
    <row r="14" spans="1:9" x14ac:dyDescent="0.25">
      <c r="A14" t="s">
        <v>113</v>
      </c>
      <c r="B14" s="10">
        <v>73213</v>
      </c>
      <c r="C14" s="10">
        <v>56052</v>
      </c>
      <c r="D14" s="10">
        <v>42740</v>
      </c>
      <c r="F14" s="32">
        <f t="shared" si="7"/>
        <v>0.3061621351602084</v>
      </c>
      <c r="G14" s="32">
        <f t="shared" si="8"/>
        <v>0.31146467009826861</v>
      </c>
    </row>
    <row r="15" spans="1:9" x14ac:dyDescent="0.25">
      <c r="A15" t="s">
        <v>114</v>
      </c>
      <c r="B15" s="10">
        <v>42238</v>
      </c>
      <c r="C15" s="10">
        <v>32551</v>
      </c>
      <c r="D15" s="10">
        <v>22008</v>
      </c>
      <c r="F15" s="32">
        <f t="shared" si="7"/>
        <v>0.29759454394642249</v>
      </c>
      <c r="G15" s="32">
        <f t="shared" si="8"/>
        <v>0.47905307161032362</v>
      </c>
    </row>
    <row r="16" spans="1:9" x14ac:dyDescent="0.25">
      <c r="A16" t="s">
        <v>115</v>
      </c>
      <c r="B16" s="10">
        <v>11891</v>
      </c>
      <c r="C16" s="10">
        <v>8823</v>
      </c>
      <c r="D16" s="10">
        <v>6668</v>
      </c>
      <c r="F16" s="32">
        <f t="shared" si="7"/>
        <v>0.34772753031848569</v>
      </c>
      <c r="G16" s="32">
        <f t="shared" si="8"/>
        <v>0.32318536292741462</v>
      </c>
    </row>
    <row r="17" spans="1:8" x14ac:dyDescent="0.25">
      <c r="A17" t="s">
        <v>116</v>
      </c>
      <c r="B17" s="10">
        <v>1263</v>
      </c>
      <c r="C17" s="10">
        <v>62</v>
      </c>
      <c r="D17" s="10">
        <v>-75</v>
      </c>
      <c r="F17" s="39">
        <f t="shared" si="7"/>
        <v>19.370967741935484</v>
      </c>
      <c r="G17" s="39">
        <f t="shared" si="8"/>
        <v>-1.8266666666666667</v>
      </c>
    </row>
    <row r="18" spans="1:8" s="11" customFormat="1" x14ac:dyDescent="0.25">
      <c r="A18" s="11" t="s">
        <v>68</v>
      </c>
      <c r="B18" s="12">
        <f>+SUM(B13:B17)</f>
        <v>212904</v>
      </c>
      <c r="C18" s="12">
        <f>+SUM(C13:C17)</f>
        <v>172599</v>
      </c>
      <c r="D18" s="12">
        <f>+SUM(D13:D17)</f>
        <v>129858</v>
      </c>
      <c r="F18" s="32">
        <f t="shared" si="7"/>
        <v>0.23351815479811577</v>
      </c>
      <c r="G18" s="32">
        <f t="shared" si="8"/>
        <v>0.32913644134362152</v>
      </c>
    </row>
    <row r="19" spans="1:8" x14ac:dyDescent="0.25">
      <c r="A19" s="11" t="s">
        <v>69</v>
      </c>
      <c r="B19" s="12">
        <f>+B11-B18</f>
        <v>12248</v>
      </c>
      <c r="C19" s="12">
        <f t="shared" ref="C19:D19" si="9">+C11-C18</f>
        <v>24879</v>
      </c>
      <c r="D19" s="12">
        <f t="shared" si="9"/>
        <v>22899</v>
      </c>
      <c r="F19" s="32">
        <f t="shared" si="7"/>
        <v>-0.50769725471281002</v>
      </c>
      <c r="G19" s="32">
        <f t="shared" si="8"/>
        <v>8.6466657932660729E-2</v>
      </c>
    </row>
    <row r="20" spans="1:8" x14ac:dyDescent="0.25">
      <c r="A20" t="s">
        <v>117</v>
      </c>
      <c r="B20" s="10">
        <v>989</v>
      </c>
      <c r="C20" s="10">
        <v>448</v>
      </c>
      <c r="D20" s="10">
        <v>555</v>
      </c>
      <c r="F20" s="39">
        <f t="shared" si="7"/>
        <v>1.2075892857142856</v>
      </c>
      <c r="G20" s="32">
        <f t="shared" si="8"/>
        <v>-0.19279279279279282</v>
      </c>
    </row>
    <row r="21" spans="1:8" x14ac:dyDescent="0.25">
      <c r="A21" t="s">
        <v>118</v>
      </c>
      <c r="B21" s="10">
        <v>-2367</v>
      </c>
      <c r="C21" s="10">
        <v>-1809</v>
      </c>
      <c r="D21" s="10">
        <v>-1647</v>
      </c>
      <c r="F21" s="32">
        <f t="shared" si="7"/>
        <v>0.308457711442786</v>
      </c>
      <c r="G21" s="32">
        <f t="shared" si="8"/>
        <v>9.8360655737705027E-2</v>
      </c>
    </row>
    <row r="22" spans="1:8" x14ac:dyDescent="0.25">
      <c r="A22" t="s">
        <v>70</v>
      </c>
      <c r="B22" s="10">
        <v>-16806</v>
      </c>
      <c r="C22" s="10">
        <v>14633</v>
      </c>
      <c r="D22" s="10">
        <v>2371</v>
      </c>
      <c r="F22" s="39">
        <f>+B22/C22-1</f>
        <v>-2.1484999658306565</v>
      </c>
      <c r="G22" s="39">
        <f t="shared" si="8"/>
        <v>5.1716575284690007</v>
      </c>
    </row>
    <row r="23" spans="1:8" x14ac:dyDescent="0.25">
      <c r="A23" s="11" t="s">
        <v>71</v>
      </c>
      <c r="B23" s="12">
        <f>+SUM(B19:B22)</f>
        <v>-5936</v>
      </c>
      <c r="C23" s="12">
        <f t="shared" ref="C23:D23" si="10">+SUM(C19:C22)</f>
        <v>38151</v>
      </c>
      <c r="D23" s="12">
        <f t="shared" si="10"/>
        <v>24178</v>
      </c>
      <c r="F23" s="39">
        <f t="shared" si="7"/>
        <v>-1.1555922518413673</v>
      </c>
      <c r="G23" s="32">
        <f t="shared" si="8"/>
        <v>0.57792207792207795</v>
      </c>
    </row>
    <row r="24" spans="1:8" x14ac:dyDescent="0.25">
      <c r="A24" t="s">
        <v>72</v>
      </c>
      <c r="B24" s="10">
        <v>3217</v>
      </c>
      <c r="C24" s="10">
        <v>-4791</v>
      </c>
      <c r="D24" s="10">
        <v>-2863</v>
      </c>
      <c r="F24" s="39">
        <f t="shared" si="7"/>
        <v>-1.6714673345856816</v>
      </c>
      <c r="G24" s="32">
        <f t="shared" si="8"/>
        <v>0.67341949004540691</v>
      </c>
    </row>
    <row r="25" spans="1:8" x14ac:dyDescent="0.25">
      <c r="A25" t="s">
        <v>119</v>
      </c>
      <c r="B25" s="10">
        <v>-3</v>
      </c>
      <c r="C25" s="10">
        <v>4</v>
      </c>
      <c r="D25" s="10">
        <v>16</v>
      </c>
      <c r="F25" s="39">
        <f t="shared" si="7"/>
        <v>-1.75</v>
      </c>
      <c r="G25" s="39">
        <f t="shared" si="8"/>
        <v>-0.75</v>
      </c>
    </row>
    <row r="26" spans="1:8" ht="15.75" thickBot="1" x14ac:dyDescent="0.3">
      <c r="A26" s="13" t="s">
        <v>73</v>
      </c>
      <c r="B26" s="14">
        <f>+SUM(B23:B25)</f>
        <v>-2722</v>
      </c>
      <c r="C26" s="14">
        <f>+SUM(C23:C25)</f>
        <v>33364</v>
      </c>
      <c r="D26" s="14">
        <f>+SUM(D23:D25)</f>
        <v>21331</v>
      </c>
      <c r="F26" s="39">
        <f t="shared" si="7"/>
        <v>-1.0815849418534949</v>
      </c>
      <c r="G26" s="32">
        <f t="shared" si="8"/>
        <v>0.56410857437532225</v>
      </c>
    </row>
    <row r="27" spans="1:8" ht="15.75" thickTop="1" x14ac:dyDescent="0.25">
      <c r="A27" t="s">
        <v>74</v>
      </c>
    </row>
    <row r="28" spans="1:8" x14ac:dyDescent="0.25">
      <c r="A28" s="1" t="s">
        <v>75</v>
      </c>
      <c r="B28" s="15">
        <v>-0.27</v>
      </c>
      <c r="C28" s="15">
        <v>3.3</v>
      </c>
      <c r="D28" s="15">
        <v>2.13</v>
      </c>
    </row>
    <row r="29" spans="1:8" x14ac:dyDescent="0.25">
      <c r="A29" s="1" t="s">
        <v>76</v>
      </c>
      <c r="B29" s="15">
        <v>-0.27</v>
      </c>
      <c r="C29" s="15">
        <v>3.24</v>
      </c>
      <c r="D29" s="15">
        <v>2.09</v>
      </c>
    </row>
    <row r="30" spans="1:8" x14ac:dyDescent="0.25">
      <c r="A30" t="s">
        <v>77</v>
      </c>
    </row>
    <row r="31" spans="1:8" x14ac:dyDescent="0.25">
      <c r="A31" s="1" t="s">
        <v>75</v>
      </c>
      <c r="B31" s="16">
        <v>10189</v>
      </c>
      <c r="C31" s="16">
        <v>10117</v>
      </c>
      <c r="D31" s="16">
        <v>10005</v>
      </c>
    </row>
    <row r="32" spans="1:8" x14ac:dyDescent="0.25">
      <c r="A32" s="1" t="s">
        <v>76</v>
      </c>
      <c r="B32" s="16">
        <v>10189</v>
      </c>
      <c r="C32" s="16">
        <v>10296</v>
      </c>
      <c r="D32" s="16">
        <v>10198</v>
      </c>
      <c r="F32" s="16">
        <f>+B32*1000/1000000</f>
        <v>10.189</v>
      </c>
      <c r="G32" s="16">
        <f t="shared" ref="G32:H32" si="11">+C32*1000/1000000</f>
        <v>10.295999999999999</v>
      </c>
      <c r="H32" s="16">
        <f t="shared" si="11"/>
        <v>10.198</v>
      </c>
    </row>
    <row r="33" spans="1:7" x14ac:dyDescent="0.25">
      <c r="A33" s="1" t="s">
        <v>78</v>
      </c>
      <c r="B33" s="30">
        <v>84</v>
      </c>
      <c r="C33">
        <v>166.72</v>
      </c>
      <c r="D33">
        <v>162.85</v>
      </c>
    </row>
    <row r="35" spans="1:7" x14ac:dyDescent="0.25">
      <c r="A35" s="25" t="s">
        <v>12</v>
      </c>
      <c r="B35" s="25"/>
      <c r="C35" s="25"/>
      <c r="D35" s="25"/>
    </row>
    <row r="36" spans="1:7" x14ac:dyDescent="0.25">
      <c r="B36" s="24" t="s">
        <v>56</v>
      </c>
      <c r="C36" s="24"/>
      <c r="D36" s="24"/>
    </row>
    <row r="37" spans="1:7" x14ac:dyDescent="0.25">
      <c r="B37" s="9">
        <v>2022</v>
      </c>
      <c r="C37" s="9">
        <v>2021</v>
      </c>
      <c r="D37" s="9">
        <v>2020</v>
      </c>
    </row>
    <row r="39" spans="1:7" x14ac:dyDescent="0.25">
      <c r="A39" t="s">
        <v>79</v>
      </c>
    </row>
    <row r="40" spans="1:7" x14ac:dyDescent="0.25">
      <c r="A40" s="1" t="s">
        <v>80</v>
      </c>
      <c r="B40" s="10">
        <v>53888</v>
      </c>
      <c r="C40" s="10">
        <v>36220</v>
      </c>
      <c r="D40" s="10">
        <v>42122</v>
      </c>
      <c r="F40" s="32">
        <f t="shared" ref="F40:F44" si="12">+B40/C40-1</f>
        <v>0.48779679734953074</v>
      </c>
      <c r="G40" s="32">
        <f t="shared" ref="G40:G44" si="13">+C40/D40-1</f>
        <v>-0.14011680357058065</v>
      </c>
    </row>
    <row r="41" spans="1:7" x14ac:dyDescent="0.25">
      <c r="A41" s="1" t="s">
        <v>81</v>
      </c>
      <c r="B41" s="10">
        <v>16138</v>
      </c>
      <c r="C41" s="10">
        <v>59829</v>
      </c>
      <c r="D41" s="10">
        <v>42274</v>
      </c>
      <c r="F41" s="39">
        <f t="shared" si="12"/>
        <v>-0.73026458740744449</v>
      </c>
      <c r="G41" s="32">
        <f t="shared" si="13"/>
        <v>0.41526706722808338</v>
      </c>
    </row>
    <row r="42" spans="1:7" x14ac:dyDescent="0.25">
      <c r="A42" s="1" t="s">
        <v>120</v>
      </c>
      <c r="B42" s="10">
        <v>42360</v>
      </c>
      <c r="C42" s="10">
        <v>32891</v>
      </c>
      <c r="D42" s="10">
        <v>24542</v>
      </c>
      <c r="F42" s="32">
        <f t="shared" si="12"/>
        <v>0.28789030433857277</v>
      </c>
      <c r="G42" s="32">
        <f t="shared" si="13"/>
        <v>0.34019232336402894</v>
      </c>
    </row>
    <row r="43" spans="1:7" x14ac:dyDescent="0.25">
      <c r="A43" s="1" t="s">
        <v>82</v>
      </c>
      <c r="B43" s="10">
        <v>34405</v>
      </c>
      <c r="C43" s="10">
        <v>32640</v>
      </c>
      <c r="D43" s="10">
        <v>23795</v>
      </c>
      <c r="F43" s="32">
        <f t="shared" si="12"/>
        <v>5.4074754901960675E-2</v>
      </c>
      <c r="G43" s="32">
        <f t="shared" si="13"/>
        <v>0.37171674721580161</v>
      </c>
    </row>
    <row r="44" spans="1:7" x14ac:dyDescent="0.25">
      <c r="A44" s="11" t="s">
        <v>83</v>
      </c>
      <c r="B44" s="12">
        <f>+SUM(B40:B43)</f>
        <v>146791</v>
      </c>
      <c r="C44" s="12">
        <f>+SUM(C40:C43)</f>
        <v>161580</v>
      </c>
      <c r="D44" s="12">
        <f>+SUM(D40:D43)</f>
        <v>132733</v>
      </c>
      <c r="F44" s="32">
        <f t="shared" si="12"/>
        <v>-9.1527416759499935E-2</v>
      </c>
      <c r="G44" s="32">
        <f t="shared" si="13"/>
        <v>0.21733103297597434</v>
      </c>
    </row>
    <row r="45" spans="1:7" x14ac:dyDescent="0.25">
      <c r="A45" t="s">
        <v>84</v>
      </c>
      <c r="B45" s="28"/>
      <c r="C45" s="28"/>
      <c r="D45" s="28"/>
    </row>
    <row r="46" spans="1:7" x14ac:dyDescent="0.25">
      <c r="A46" s="1" t="s">
        <v>121</v>
      </c>
      <c r="B46" s="10">
        <v>186715</v>
      </c>
      <c r="C46" s="10">
        <v>160281</v>
      </c>
      <c r="D46" s="10">
        <v>113114</v>
      </c>
      <c r="F46" s="32">
        <f t="shared" ref="F46:F51" si="14">+B46/C46-1</f>
        <v>0.16492285423724584</v>
      </c>
      <c r="G46" s="32">
        <f t="shared" ref="G46:G51" si="15">+C46/D46-1</f>
        <v>0.41698640309775969</v>
      </c>
    </row>
    <row r="47" spans="1:7" x14ac:dyDescent="0.25">
      <c r="A47" s="1" t="s">
        <v>122</v>
      </c>
      <c r="B47" s="10">
        <v>66123</v>
      </c>
      <c r="C47" s="10">
        <v>56082</v>
      </c>
      <c r="D47" s="10">
        <v>37553</v>
      </c>
      <c r="F47" s="32">
        <f t="shared" si="14"/>
        <v>0.17904140365892807</v>
      </c>
      <c r="G47" s="32">
        <f t="shared" si="15"/>
        <v>0.49340931483503314</v>
      </c>
    </row>
    <row r="48" spans="1:7" x14ac:dyDescent="0.25">
      <c r="A48" s="1" t="s">
        <v>123</v>
      </c>
      <c r="B48" s="10">
        <v>20288</v>
      </c>
      <c r="C48" s="10">
        <v>15371</v>
      </c>
      <c r="D48" s="10">
        <v>15017</v>
      </c>
      <c r="F48" s="32">
        <f t="shared" si="14"/>
        <v>0.31988810096935794</v>
      </c>
      <c r="G48" s="32">
        <f t="shared" si="15"/>
        <v>2.357328361190647E-2</v>
      </c>
    </row>
    <row r="49" spans="1:7" x14ac:dyDescent="0.25">
      <c r="A49" s="1" t="s">
        <v>124</v>
      </c>
      <c r="B49" s="10">
        <v>42758</v>
      </c>
      <c r="C49" s="10">
        <v>27235</v>
      </c>
      <c r="D49" s="10">
        <v>22778</v>
      </c>
      <c r="F49" s="32">
        <f t="shared" si="14"/>
        <v>0.5699651184138057</v>
      </c>
      <c r="G49" s="32">
        <f t="shared" si="15"/>
        <v>0.19567126174378791</v>
      </c>
    </row>
    <row r="50" spans="1:7" x14ac:dyDescent="0.25">
      <c r="A50" s="11" t="s">
        <v>85</v>
      </c>
      <c r="B50" s="12">
        <f>+SUM(B46:B49)</f>
        <v>315884</v>
      </c>
      <c r="C50" s="12">
        <f>+SUM(C46:C49)</f>
        <v>258969</v>
      </c>
      <c r="D50" s="12">
        <f>+SUM(D46:D49)</f>
        <v>188462</v>
      </c>
      <c r="F50" s="32">
        <f t="shared" si="14"/>
        <v>0.21977533990554865</v>
      </c>
      <c r="G50" s="32">
        <f t="shared" si="15"/>
        <v>0.37411785930320174</v>
      </c>
    </row>
    <row r="51" spans="1:7" ht="15.75" thickBot="1" x14ac:dyDescent="0.3">
      <c r="A51" s="13" t="s">
        <v>86</v>
      </c>
      <c r="B51" s="14">
        <f>+B44+B50</f>
        <v>462675</v>
      </c>
      <c r="C51" s="14">
        <f>+C44+C50</f>
        <v>420549</v>
      </c>
      <c r="D51" s="14">
        <f>+D44+D50</f>
        <v>321195</v>
      </c>
      <c r="F51" s="32">
        <f t="shared" si="14"/>
        <v>0.10016906472254128</v>
      </c>
      <c r="G51" s="32">
        <f t="shared" si="15"/>
        <v>0.309326110306823</v>
      </c>
    </row>
    <row r="52" spans="1:7" ht="15.75" thickTop="1" x14ac:dyDescent="0.25"/>
    <row r="53" spans="1:7" x14ac:dyDescent="0.25">
      <c r="A53" t="s">
        <v>87</v>
      </c>
    </row>
    <row r="54" spans="1:7" x14ac:dyDescent="0.25">
      <c r="A54" s="1" t="s">
        <v>88</v>
      </c>
      <c r="B54" s="10">
        <v>79600</v>
      </c>
      <c r="C54" s="10">
        <v>78664</v>
      </c>
      <c r="D54" s="10">
        <v>72539</v>
      </c>
      <c r="F54" s="32">
        <f t="shared" ref="F54:F57" si="16">+B54/C54-1</f>
        <v>1.1898708430794214E-2</v>
      </c>
      <c r="G54" s="32">
        <f t="shared" ref="G54:G57" si="17">+C54/D54-1</f>
        <v>8.4437337156564096E-2</v>
      </c>
    </row>
    <row r="55" spans="1:7" x14ac:dyDescent="0.25">
      <c r="A55" s="1" t="s">
        <v>125</v>
      </c>
      <c r="B55" s="10">
        <v>62566</v>
      </c>
      <c r="C55" s="10">
        <v>51775</v>
      </c>
      <c r="D55" s="10">
        <v>44138</v>
      </c>
      <c r="F55" s="32">
        <f t="shared" si="16"/>
        <v>0.20842105263157884</v>
      </c>
      <c r="G55" s="32">
        <f t="shared" si="17"/>
        <v>0.17302551089763929</v>
      </c>
    </row>
    <row r="56" spans="1:7" x14ac:dyDescent="0.25">
      <c r="A56" s="1" t="s">
        <v>126</v>
      </c>
      <c r="B56" s="10">
        <v>13227</v>
      </c>
      <c r="C56" s="10">
        <v>11827</v>
      </c>
      <c r="D56" s="10">
        <v>9708</v>
      </c>
      <c r="F56" s="32">
        <f t="shared" si="16"/>
        <v>0.11837321383275556</v>
      </c>
      <c r="G56" s="32">
        <f t="shared" si="17"/>
        <v>0.21827358879274827</v>
      </c>
    </row>
    <row r="57" spans="1:7" x14ac:dyDescent="0.25">
      <c r="A57" s="11" t="s">
        <v>89</v>
      </c>
      <c r="B57" s="12">
        <f>+SUM(B54:B56)</f>
        <v>155393</v>
      </c>
      <c r="C57" s="12">
        <f>+SUM(C54:C56)</f>
        <v>142266</v>
      </c>
      <c r="D57" s="12">
        <f>+SUM(D54:D56)</f>
        <v>126385</v>
      </c>
      <c r="F57" s="32">
        <f t="shared" si="16"/>
        <v>9.2270816639253184E-2</v>
      </c>
      <c r="G57" s="32">
        <f t="shared" si="17"/>
        <v>0.12565573446215939</v>
      </c>
    </row>
    <row r="58" spans="1:7" x14ac:dyDescent="0.25">
      <c r="A58" t="s">
        <v>90</v>
      </c>
      <c r="B58" s="10"/>
      <c r="C58" s="10"/>
      <c r="D58" s="10"/>
    </row>
    <row r="59" spans="1:7" x14ac:dyDescent="0.25">
      <c r="A59" s="1" t="s">
        <v>127</v>
      </c>
      <c r="B59" s="10">
        <v>72968</v>
      </c>
      <c r="C59" s="10">
        <v>67651</v>
      </c>
      <c r="D59" s="10">
        <v>52573</v>
      </c>
      <c r="F59" s="32">
        <f t="shared" ref="F59:F63" si="18">+B59/C59-1</f>
        <v>7.8594551447872085E-2</v>
      </c>
      <c r="G59" s="32">
        <f t="shared" ref="G59:G63" si="19">+C59/D59-1</f>
        <v>0.28680120974644785</v>
      </c>
    </row>
    <row r="60" spans="1:7" x14ac:dyDescent="0.25">
      <c r="A60" s="1" t="s">
        <v>128</v>
      </c>
      <c r="B60" s="10">
        <v>67150</v>
      </c>
      <c r="C60" s="10">
        <v>48744</v>
      </c>
      <c r="D60" s="10">
        <v>31816</v>
      </c>
      <c r="F60" s="32">
        <f t="shared" si="18"/>
        <v>0.37760544887575898</v>
      </c>
      <c r="G60" s="32">
        <f t="shared" si="19"/>
        <v>0.53205934121196874</v>
      </c>
    </row>
    <row r="61" spans="1:7" x14ac:dyDescent="0.25">
      <c r="A61" s="1" t="s">
        <v>129</v>
      </c>
      <c r="B61" s="10">
        <v>21121</v>
      </c>
      <c r="C61" s="10">
        <v>23643</v>
      </c>
      <c r="D61" s="10">
        <v>17017</v>
      </c>
      <c r="F61" s="32">
        <f t="shared" si="18"/>
        <v>-0.10667005033202215</v>
      </c>
      <c r="G61" s="32">
        <f t="shared" si="19"/>
        <v>0.38937533055180107</v>
      </c>
    </row>
    <row r="62" spans="1:7" x14ac:dyDescent="0.25">
      <c r="A62" s="26" t="s">
        <v>91</v>
      </c>
      <c r="B62" s="27">
        <f>+SUM(B59:B61)</f>
        <v>161239</v>
      </c>
      <c r="C62" s="27">
        <f>+SUM(C59:C61)</f>
        <v>140038</v>
      </c>
      <c r="D62" s="27">
        <f>+SUM(D59:D61)</f>
        <v>101406</v>
      </c>
      <c r="F62" s="32">
        <f t="shared" si="18"/>
        <v>0.15139462145988936</v>
      </c>
      <c r="G62" s="32">
        <f t="shared" si="19"/>
        <v>0.38096365106601193</v>
      </c>
    </row>
    <row r="63" spans="1:7" x14ac:dyDescent="0.25">
      <c r="A63" s="11" t="s">
        <v>92</v>
      </c>
      <c r="B63" s="12">
        <f>+B57+B62</f>
        <v>316632</v>
      </c>
      <c r="C63" s="12">
        <f>+C57+C62</f>
        <v>282304</v>
      </c>
      <c r="D63" s="12">
        <f>+D57+D62</f>
        <v>227791</v>
      </c>
      <c r="F63" s="32">
        <f t="shared" si="18"/>
        <v>0.12159941056449775</v>
      </c>
      <c r="G63" s="32">
        <f t="shared" si="19"/>
        <v>0.23931147411442955</v>
      </c>
    </row>
    <row r="64" spans="1:7" x14ac:dyDescent="0.25">
      <c r="B64" s="10"/>
      <c r="C64" s="10"/>
      <c r="D64" s="10"/>
    </row>
    <row r="65" spans="1:7" x14ac:dyDescent="0.25">
      <c r="A65" t="s">
        <v>93</v>
      </c>
      <c r="B65" s="10"/>
      <c r="C65" s="10"/>
      <c r="D65" s="10"/>
    </row>
    <row r="66" spans="1:7" x14ac:dyDescent="0.25">
      <c r="A66" s="1" t="s">
        <v>130</v>
      </c>
      <c r="B66" s="10">
        <v>108</v>
      </c>
      <c r="C66" s="10">
        <v>106</v>
      </c>
      <c r="D66" s="10">
        <v>5</v>
      </c>
      <c r="F66" s="32"/>
      <c r="G66" s="32"/>
    </row>
    <row r="67" spans="1:7" x14ac:dyDescent="0.25">
      <c r="A67" s="1" t="s">
        <v>131</v>
      </c>
      <c r="B67" s="10">
        <v>-7837</v>
      </c>
      <c r="C67" s="10">
        <v>-1837</v>
      </c>
      <c r="D67" s="10">
        <v>-1837</v>
      </c>
      <c r="F67" s="32"/>
      <c r="G67" s="32"/>
    </row>
    <row r="68" spans="1:7" x14ac:dyDescent="0.25">
      <c r="A68" s="1" t="s">
        <v>132</v>
      </c>
      <c r="B68" s="10">
        <v>75066</v>
      </c>
      <c r="C68" s="10">
        <v>55437</v>
      </c>
      <c r="D68" s="10">
        <v>42865</v>
      </c>
      <c r="F68" s="32"/>
      <c r="G68" s="32"/>
    </row>
    <row r="69" spans="1:7" x14ac:dyDescent="0.25">
      <c r="A69" s="1" t="s">
        <v>133</v>
      </c>
      <c r="B69" s="10">
        <v>-4487</v>
      </c>
      <c r="C69" s="10">
        <v>-1376</v>
      </c>
      <c r="D69" s="10">
        <v>-180</v>
      </c>
      <c r="F69" s="32"/>
      <c r="G69" s="32"/>
    </row>
    <row r="70" spans="1:7" x14ac:dyDescent="0.25">
      <c r="A70" s="1" t="s">
        <v>94</v>
      </c>
      <c r="B70" s="10">
        <v>83193</v>
      </c>
      <c r="C70" s="10">
        <v>85915</v>
      </c>
      <c r="D70" s="10">
        <v>52551</v>
      </c>
      <c r="F70" s="32"/>
      <c r="G70" s="32"/>
    </row>
    <row r="71" spans="1:7" x14ac:dyDescent="0.25">
      <c r="A71" s="11" t="s">
        <v>95</v>
      </c>
      <c r="B71" s="12">
        <f>+SUM(B66:B70)</f>
        <v>146043</v>
      </c>
      <c r="C71" s="12">
        <f t="shared" ref="C71" si="20">+SUM(C66:C70)</f>
        <v>138245</v>
      </c>
      <c r="D71" s="12">
        <v>93404</v>
      </c>
      <c r="F71" s="32"/>
      <c r="G71" s="32"/>
    </row>
    <row r="72" spans="1:7" ht="15.75" thickBot="1" x14ac:dyDescent="0.3">
      <c r="A72" s="13" t="s">
        <v>96</v>
      </c>
      <c r="B72" s="14">
        <f>+B71+B63</f>
        <v>462675</v>
      </c>
      <c r="C72" s="14">
        <f t="shared" ref="C72:D72" si="21">+C71+C63</f>
        <v>420549</v>
      </c>
      <c r="D72" s="14">
        <f t="shared" si="21"/>
        <v>321195</v>
      </c>
      <c r="F72" s="32"/>
      <c r="G72" s="32"/>
    </row>
    <row r="73" spans="1:7" ht="15.75" thickTop="1" x14ac:dyDescent="0.25"/>
    <row r="74" spans="1:7" x14ac:dyDescent="0.25">
      <c r="A74" s="25" t="s">
        <v>13</v>
      </c>
      <c r="B74" s="25"/>
      <c r="C74" s="25"/>
      <c r="D74" s="25"/>
    </row>
    <row r="75" spans="1:7" x14ac:dyDescent="0.25">
      <c r="B75" s="24" t="s">
        <v>55</v>
      </c>
      <c r="C75" s="24"/>
      <c r="D75" s="24"/>
    </row>
    <row r="76" spans="1:7" x14ac:dyDescent="0.25">
      <c r="B76" s="9">
        <v>2022</v>
      </c>
      <c r="C76" s="9">
        <v>2021</v>
      </c>
      <c r="D76" s="9">
        <v>2020</v>
      </c>
    </row>
    <row r="78" spans="1:7" x14ac:dyDescent="0.25">
      <c r="A78" s="9" t="s">
        <v>97</v>
      </c>
      <c r="B78" s="17"/>
      <c r="C78" s="17"/>
      <c r="D78" s="17"/>
    </row>
    <row r="79" spans="1:7" x14ac:dyDescent="0.25">
      <c r="A79" t="s">
        <v>98</v>
      </c>
      <c r="B79" s="10"/>
      <c r="C79" s="10"/>
      <c r="D79" s="10"/>
    </row>
    <row r="80" spans="1:7" x14ac:dyDescent="0.25">
      <c r="A80" s="18" t="s">
        <v>134</v>
      </c>
      <c r="B80" s="10">
        <f>+B26</f>
        <v>-2722</v>
      </c>
      <c r="C80" s="10">
        <f>+C26</f>
        <v>33364</v>
      </c>
      <c r="D80" s="10">
        <f>+D26</f>
        <v>21331</v>
      </c>
      <c r="F80" s="39">
        <f t="shared" ref="F80" si="22">+B80/C80-1</f>
        <v>-1.0815849418534949</v>
      </c>
      <c r="G80" s="32">
        <f t="shared" ref="G80" si="23">+C80/D80-1</f>
        <v>0.56410857437532225</v>
      </c>
    </row>
    <row r="81" spans="1:7" x14ac:dyDescent="0.25">
      <c r="A81" s="1" t="s">
        <v>99</v>
      </c>
      <c r="B81" s="10"/>
      <c r="C81" s="10"/>
      <c r="D81" s="10"/>
    </row>
    <row r="82" spans="1:7" x14ac:dyDescent="0.25">
      <c r="A82" s="19" t="s">
        <v>100</v>
      </c>
      <c r="B82" s="10">
        <v>41921</v>
      </c>
      <c r="C82" s="10">
        <v>34433</v>
      </c>
      <c r="D82" s="10">
        <v>25180</v>
      </c>
      <c r="F82" s="32">
        <f t="shared" ref="F82:F91" si="24">+B82/C82-1</f>
        <v>0.21746580315395114</v>
      </c>
      <c r="G82" s="32">
        <f t="shared" ref="G82:G91" si="25">+C82/D82-1</f>
        <v>0.36747418586179514</v>
      </c>
    </row>
    <row r="83" spans="1:7" x14ac:dyDescent="0.25">
      <c r="A83" s="19" t="s">
        <v>101</v>
      </c>
      <c r="B83" s="10">
        <v>19621</v>
      </c>
      <c r="C83" s="10">
        <v>12757</v>
      </c>
      <c r="D83" s="10">
        <v>9208</v>
      </c>
      <c r="F83" s="32">
        <f t="shared" si="24"/>
        <v>0.53805753703848858</v>
      </c>
      <c r="G83" s="32">
        <f t="shared" si="25"/>
        <v>0.38542571676802773</v>
      </c>
    </row>
    <row r="84" spans="1:7" x14ac:dyDescent="0.25">
      <c r="A84" s="19" t="s">
        <v>135</v>
      </c>
      <c r="B84" s="10">
        <v>-8148</v>
      </c>
      <c r="C84" s="10">
        <v>-310</v>
      </c>
      <c r="D84" s="10">
        <v>-554</v>
      </c>
      <c r="F84" s="39">
        <f t="shared" si="24"/>
        <v>25.283870967741937</v>
      </c>
      <c r="G84" s="32">
        <f t="shared" si="25"/>
        <v>-0.44043321299638993</v>
      </c>
    </row>
    <row r="85" spans="1:7" x14ac:dyDescent="0.25">
      <c r="A85" s="19" t="s">
        <v>148</v>
      </c>
      <c r="B85" s="10">
        <v>16966</v>
      </c>
      <c r="C85" s="10">
        <v>-14306</v>
      </c>
      <c r="D85" s="10">
        <v>-2582</v>
      </c>
      <c r="F85" s="39">
        <f t="shared" si="24"/>
        <v>-2.1859359709212915</v>
      </c>
      <c r="G85" s="39">
        <f t="shared" si="25"/>
        <v>4.5406661502711074</v>
      </c>
    </row>
    <row r="86" spans="1:7" x14ac:dyDescent="0.25">
      <c r="A86" t="s">
        <v>102</v>
      </c>
      <c r="B86" s="10"/>
      <c r="C86" s="10"/>
      <c r="D86" s="10"/>
      <c r="F86" s="32"/>
      <c r="G86" s="32"/>
    </row>
    <row r="87" spans="1:7" x14ac:dyDescent="0.25">
      <c r="A87" s="1" t="s">
        <v>82</v>
      </c>
      <c r="B87" s="10">
        <v>-2592</v>
      </c>
      <c r="C87" s="10">
        <v>-9487</v>
      </c>
      <c r="D87" s="10">
        <v>-2849</v>
      </c>
      <c r="F87" s="39">
        <f t="shared" si="24"/>
        <v>-0.72678402023822075</v>
      </c>
      <c r="G87" s="39">
        <f t="shared" si="25"/>
        <v>2.3299403299403298</v>
      </c>
    </row>
    <row r="88" spans="1:7" x14ac:dyDescent="0.25">
      <c r="A88" s="1" t="s">
        <v>120</v>
      </c>
      <c r="B88" s="10">
        <v>-21897</v>
      </c>
      <c r="C88" s="10">
        <v>-18163</v>
      </c>
      <c r="D88" s="10">
        <v>-8169</v>
      </c>
      <c r="F88" s="32">
        <f t="shared" si="24"/>
        <v>0.2055827781754116</v>
      </c>
      <c r="G88" s="39">
        <f t="shared" si="25"/>
        <v>1.2234055575957892</v>
      </c>
    </row>
    <row r="89" spans="1:7" x14ac:dyDescent="0.25">
      <c r="A89" s="1" t="s">
        <v>88</v>
      </c>
      <c r="B89" s="10">
        <v>2945</v>
      </c>
      <c r="C89" s="10">
        <v>3602</v>
      </c>
      <c r="D89" s="10">
        <v>17480</v>
      </c>
      <c r="F89" s="32">
        <f t="shared" si="24"/>
        <v>-0.18239866740699606</v>
      </c>
      <c r="G89" s="39">
        <f t="shared" si="25"/>
        <v>-0.79393592677345537</v>
      </c>
    </row>
    <row r="90" spans="1:7" x14ac:dyDescent="0.25">
      <c r="A90" s="1" t="s">
        <v>125</v>
      </c>
      <c r="B90" s="10">
        <v>-1558</v>
      </c>
      <c r="C90" s="10">
        <v>2123</v>
      </c>
      <c r="D90" s="10">
        <v>5754</v>
      </c>
      <c r="F90" s="39">
        <f t="shared" si="24"/>
        <v>-1.7338671691003298</v>
      </c>
      <c r="G90" s="39">
        <f t="shared" si="25"/>
        <v>-0.63103927702467844</v>
      </c>
    </row>
    <row r="91" spans="1:7" x14ac:dyDescent="0.25">
      <c r="A91" s="1" t="s">
        <v>126</v>
      </c>
      <c r="B91" s="10">
        <v>2216</v>
      </c>
      <c r="C91" s="10">
        <v>2314</v>
      </c>
      <c r="D91" s="10">
        <v>1265</v>
      </c>
      <c r="F91" s="32">
        <f t="shared" si="24"/>
        <v>-4.2350907519446812E-2</v>
      </c>
      <c r="G91" s="32">
        <f t="shared" si="25"/>
        <v>0.82924901185770761</v>
      </c>
    </row>
    <row r="92" spans="1:7" x14ac:dyDescent="0.25">
      <c r="A92" s="1"/>
      <c r="B92" s="10"/>
      <c r="C92" s="10"/>
      <c r="D92" s="10"/>
    </row>
    <row r="93" spans="1:7" x14ac:dyDescent="0.25">
      <c r="A93" s="11" t="s">
        <v>103</v>
      </c>
      <c r="B93" s="12">
        <f>+SUM(B80:B92)</f>
        <v>46752</v>
      </c>
      <c r="C93" s="12">
        <f>+SUM(C80:C92)</f>
        <v>46327</v>
      </c>
      <c r="D93" s="12">
        <f>+SUM(D80:D92)</f>
        <v>66064</v>
      </c>
    </row>
    <row r="94" spans="1:7" x14ac:dyDescent="0.25">
      <c r="A94" s="9" t="s">
        <v>104</v>
      </c>
      <c r="B94" s="10"/>
      <c r="C94" s="10"/>
      <c r="D94" s="10"/>
    </row>
    <row r="95" spans="1:7" x14ac:dyDescent="0.25">
      <c r="A95" s="1" t="s">
        <v>136</v>
      </c>
      <c r="B95" s="10">
        <v>-63645</v>
      </c>
      <c r="C95" s="10">
        <v>-61053</v>
      </c>
      <c r="D95" s="10">
        <v>-40140</v>
      </c>
      <c r="F95" s="32">
        <f t="shared" ref="F95:F99" si="26">+B95/C95-1</f>
        <v>4.245491622033315E-2</v>
      </c>
      <c r="G95" s="32">
        <f t="shared" ref="G95:G99" si="27">+C95/D95-1</f>
        <v>0.52100149476831081</v>
      </c>
    </row>
    <row r="96" spans="1:7" x14ac:dyDescent="0.25">
      <c r="A96" s="1" t="s">
        <v>137</v>
      </c>
      <c r="B96" s="10">
        <v>5324</v>
      </c>
      <c r="C96" s="10">
        <v>5657</v>
      </c>
      <c r="D96" s="10">
        <v>5096</v>
      </c>
      <c r="F96" s="32">
        <f t="shared" si="26"/>
        <v>-5.8865122856637808E-2</v>
      </c>
      <c r="G96" s="32">
        <f t="shared" si="27"/>
        <v>0.11008634222919933</v>
      </c>
    </row>
    <row r="97" spans="1:7" x14ac:dyDescent="0.25">
      <c r="A97" s="1" t="s">
        <v>138</v>
      </c>
      <c r="B97" s="10">
        <v>-8316</v>
      </c>
      <c r="C97" s="10">
        <v>-1985</v>
      </c>
      <c r="D97" s="10">
        <v>-2325</v>
      </c>
      <c r="F97" s="39">
        <f t="shared" si="26"/>
        <v>3.1894206549118387</v>
      </c>
      <c r="G97" s="32">
        <f t="shared" si="27"/>
        <v>-0.14623655913978495</v>
      </c>
    </row>
    <row r="98" spans="1:7" x14ac:dyDescent="0.25">
      <c r="A98" s="1" t="s">
        <v>139</v>
      </c>
      <c r="B98" s="10">
        <v>31601</v>
      </c>
      <c r="C98" s="10">
        <v>59384</v>
      </c>
      <c r="D98" s="10">
        <v>50237</v>
      </c>
      <c r="F98" s="32">
        <f t="shared" si="26"/>
        <v>-0.46785329381651619</v>
      </c>
      <c r="G98" s="32">
        <f t="shared" si="27"/>
        <v>0.18207695523219947</v>
      </c>
    </row>
    <row r="99" spans="1:7" x14ac:dyDescent="0.25">
      <c r="A99" s="1" t="s">
        <v>105</v>
      </c>
      <c r="B99" s="10">
        <v>-2565</v>
      </c>
      <c r="C99" s="10">
        <v>-60157</v>
      </c>
      <c r="D99" s="10">
        <v>-72479</v>
      </c>
      <c r="F99" s="39">
        <f t="shared" si="26"/>
        <v>-0.95736157055704241</v>
      </c>
      <c r="G99" s="32">
        <f t="shared" si="27"/>
        <v>-0.17000786434691428</v>
      </c>
    </row>
    <row r="100" spans="1:7" x14ac:dyDescent="0.25">
      <c r="A100" s="1"/>
      <c r="B100" s="10"/>
      <c r="C100" s="10"/>
      <c r="D100" s="10"/>
    </row>
    <row r="101" spans="1:7" x14ac:dyDescent="0.25">
      <c r="A101" s="11" t="s">
        <v>106</v>
      </c>
      <c r="B101" s="12">
        <f>+SUM(B95:B99)</f>
        <v>-37601</v>
      </c>
      <c r="C101" s="12">
        <f>+SUM(C95:C99)</f>
        <v>-58154</v>
      </c>
      <c r="D101" s="12">
        <f>+SUM(D95:D99)</f>
        <v>-59611</v>
      </c>
    </row>
    <row r="102" spans="1:7" x14ac:dyDescent="0.25">
      <c r="A102" s="9" t="s">
        <v>107</v>
      </c>
      <c r="B102" s="10"/>
      <c r="C102" s="10"/>
      <c r="D102" s="10"/>
    </row>
    <row r="103" spans="1:7" x14ac:dyDescent="0.25">
      <c r="A103" s="1" t="s">
        <v>146</v>
      </c>
      <c r="B103" s="10">
        <v>-6000</v>
      </c>
      <c r="C103" s="10">
        <v>0</v>
      </c>
      <c r="D103" s="10">
        <v>0</v>
      </c>
    </row>
    <row r="104" spans="1:7" x14ac:dyDescent="0.25">
      <c r="A104" s="1" t="s">
        <v>145</v>
      </c>
      <c r="B104" s="10">
        <v>41553</v>
      </c>
      <c r="C104" s="10">
        <v>7956</v>
      </c>
      <c r="D104" s="10">
        <v>6796</v>
      </c>
      <c r="F104" s="39">
        <f t="shared" ref="F104:F109" si="28">+B104/C104-1</f>
        <v>4.2228506787330318</v>
      </c>
      <c r="G104" s="32">
        <f t="shared" ref="G104:G109" si="29">+C104/D104-1</f>
        <v>0.17068864037669207</v>
      </c>
    </row>
    <row r="105" spans="1:7" x14ac:dyDescent="0.25">
      <c r="A105" s="1" t="s">
        <v>144</v>
      </c>
      <c r="B105" s="10">
        <v>-37554</v>
      </c>
      <c r="C105" s="10">
        <v>-7753</v>
      </c>
      <c r="D105" s="10">
        <v>-6177</v>
      </c>
      <c r="F105" s="39">
        <f t="shared" si="28"/>
        <v>3.8438023990713273</v>
      </c>
      <c r="G105" s="32">
        <f t="shared" si="29"/>
        <v>0.25514003561599474</v>
      </c>
    </row>
    <row r="106" spans="1:7" x14ac:dyDescent="0.25">
      <c r="A106" s="1" t="s">
        <v>143</v>
      </c>
      <c r="B106" s="10">
        <v>21166</v>
      </c>
      <c r="C106" s="10">
        <v>19003</v>
      </c>
      <c r="D106" s="10">
        <v>10525</v>
      </c>
      <c r="F106" s="32">
        <f t="shared" si="28"/>
        <v>0.11382413303162653</v>
      </c>
      <c r="G106" s="32">
        <f t="shared" si="29"/>
        <v>0.80551068883610455</v>
      </c>
    </row>
    <row r="107" spans="1:7" x14ac:dyDescent="0.25">
      <c r="A107" s="1" t="s">
        <v>142</v>
      </c>
      <c r="B107" s="10">
        <v>-1258</v>
      </c>
      <c r="C107" s="10">
        <v>-1590</v>
      </c>
      <c r="D107" s="10">
        <v>-1553</v>
      </c>
      <c r="F107" s="32">
        <f t="shared" si="28"/>
        <v>-0.20880503144654083</v>
      </c>
      <c r="G107" s="32">
        <f t="shared" si="29"/>
        <v>2.3824855119124244E-2</v>
      </c>
    </row>
    <row r="108" spans="1:7" x14ac:dyDescent="0.25">
      <c r="A108" s="1" t="s">
        <v>141</v>
      </c>
      <c r="B108" s="10">
        <v>-7941</v>
      </c>
      <c r="C108" s="10">
        <v>-11163</v>
      </c>
      <c r="D108" s="10">
        <v>-10642</v>
      </c>
      <c r="F108" s="32">
        <f t="shared" si="28"/>
        <v>-0.28863208814834718</v>
      </c>
      <c r="G108" s="32">
        <f t="shared" si="29"/>
        <v>4.8956962976884011E-2</v>
      </c>
    </row>
    <row r="109" spans="1:7" x14ac:dyDescent="0.25">
      <c r="A109" s="1" t="s">
        <v>140</v>
      </c>
      <c r="B109" s="10">
        <v>-248</v>
      </c>
      <c r="C109" s="10">
        <v>-162</v>
      </c>
      <c r="D109" s="10">
        <v>-53</v>
      </c>
      <c r="F109" s="32">
        <f t="shared" si="28"/>
        <v>0.53086419753086411</v>
      </c>
      <c r="G109" s="39">
        <f t="shared" si="29"/>
        <v>2.0566037735849059</v>
      </c>
    </row>
    <row r="110" spans="1:7" x14ac:dyDescent="0.25">
      <c r="A110" s="1"/>
      <c r="B110" s="10"/>
      <c r="C110" s="10"/>
      <c r="D110" s="10"/>
    </row>
    <row r="111" spans="1:7" x14ac:dyDescent="0.25">
      <c r="A111" s="11" t="s">
        <v>108</v>
      </c>
      <c r="B111" s="12">
        <f>+SUM(B103:B109)</f>
        <v>9718</v>
      </c>
      <c r="C111" s="12">
        <f>+SUM(C103:C109)</f>
        <v>6291</v>
      </c>
      <c r="D111" s="12">
        <f>+SUM(D103:D109)</f>
        <v>-1104</v>
      </c>
    </row>
    <row r="112" spans="1:7" x14ac:dyDescent="0.25">
      <c r="A112" s="1" t="s">
        <v>147</v>
      </c>
      <c r="B112" s="10">
        <v>-1093</v>
      </c>
      <c r="C112" s="10">
        <v>-364</v>
      </c>
      <c r="D112" s="10">
        <v>618</v>
      </c>
      <c r="F112" s="39">
        <f t="shared" ref="F112" si="30">+B112/C112-1</f>
        <v>2.0027472527472527</v>
      </c>
      <c r="G112" s="39">
        <f t="shared" ref="G112" si="31">+C112/D112-1</f>
        <v>-1.5889967637540452</v>
      </c>
    </row>
    <row r="113" spans="1:7" x14ac:dyDescent="0.25">
      <c r="A113" s="11" t="s">
        <v>109</v>
      </c>
      <c r="B113" s="12">
        <f>+B93+B101+B111+B112</f>
        <v>17776</v>
      </c>
      <c r="C113" s="12">
        <f>+C93+C101+C111+C112</f>
        <v>-5900</v>
      </c>
      <c r="D113" s="12">
        <f>+D93+D101+D111+D112</f>
        <v>5967</v>
      </c>
    </row>
    <row r="114" spans="1:7" ht="15.75" thickBot="1" x14ac:dyDescent="0.3">
      <c r="A114" s="13" t="s">
        <v>110</v>
      </c>
      <c r="B114" s="14">
        <v>54253</v>
      </c>
      <c r="C114" s="14">
        <v>36477</v>
      </c>
      <c r="D114" s="14">
        <v>42377</v>
      </c>
    </row>
    <row r="115" spans="1:7" ht="15.75" thickTop="1" x14ac:dyDescent="0.25">
      <c r="B115" s="10"/>
      <c r="C115" s="10"/>
      <c r="D115" s="10"/>
    </row>
    <row r="116" spans="1:7" x14ac:dyDescent="0.25">
      <c r="A116" t="s">
        <v>111</v>
      </c>
      <c r="B116" s="10"/>
      <c r="C116" s="10"/>
      <c r="D116" s="10"/>
    </row>
    <row r="117" spans="1:7" x14ac:dyDescent="0.25">
      <c r="A117" t="s">
        <v>149</v>
      </c>
      <c r="B117" s="10">
        <v>1561</v>
      </c>
      <c r="C117" s="10">
        <v>1098</v>
      </c>
      <c r="D117" s="10">
        <v>916</v>
      </c>
      <c r="F117" s="32">
        <f t="shared" ref="F117:F122" si="32">+B117/C117-1</f>
        <v>0.42167577413479052</v>
      </c>
      <c r="G117" s="32">
        <f t="shared" ref="G117:G122" si="33">+C117/D117-1</f>
        <v>0.1986899563318778</v>
      </c>
    </row>
    <row r="118" spans="1:7" x14ac:dyDescent="0.25">
      <c r="A118" t="s">
        <v>150</v>
      </c>
      <c r="B118" s="10">
        <v>8633</v>
      </c>
      <c r="C118" s="10">
        <v>6722</v>
      </c>
      <c r="D118" s="10">
        <v>4475</v>
      </c>
      <c r="F118" s="32">
        <f t="shared" si="32"/>
        <v>0.28429038976495091</v>
      </c>
      <c r="G118" s="32">
        <f t="shared" si="33"/>
        <v>0.502122905027933</v>
      </c>
    </row>
    <row r="119" spans="1:7" x14ac:dyDescent="0.25">
      <c r="A119" t="s">
        <v>151</v>
      </c>
      <c r="B119" s="10">
        <v>374</v>
      </c>
      <c r="C119" s="10">
        <v>521</v>
      </c>
      <c r="D119" s="10">
        <v>612</v>
      </c>
      <c r="F119" s="32">
        <f t="shared" si="32"/>
        <v>-0.28214971209213047</v>
      </c>
      <c r="G119" s="32">
        <f t="shared" si="33"/>
        <v>-0.14869281045751637</v>
      </c>
    </row>
    <row r="120" spans="1:7" x14ac:dyDescent="0.25">
      <c r="A120" t="s">
        <v>152</v>
      </c>
      <c r="B120" s="10">
        <v>207</v>
      </c>
      <c r="C120" s="10">
        <v>153</v>
      </c>
      <c r="D120" s="10">
        <v>102</v>
      </c>
      <c r="F120" s="32">
        <f t="shared" si="32"/>
        <v>0.35294117647058831</v>
      </c>
      <c r="G120" s="32">
        <f t="shared" si="33"/>
        <v>0.5</v>
      </c>
    </row>
    <row r="121" spans="1:7" x14ac:dyDescent="0.25">
      <c r="A121" t="s">
        <v>153</v>
      </c>
      <c r="B121" s="10">
        <v>6035</v>
      </c>
      <c r="C121" s="10">
        <v>3688</v>
      </c>
      <c r="D121" s="10">
        <v>1713</v>
      </c>
      <c r="F121" s="32">
        <f t="shared" si="32"/>
        <v>0.63638828633405642</v>
      </c>
      <c r="G121" s="39">
        <f t="shared" si="33"/>
        <v>1.1529480443666085</v>
      </c>
    </row>
    <row r="122" spans="1:7" x14ac:dyDescent="0.25">
      <c r="A122" t="s">
        <v>154</v>
      </c>
      <c r="B122" s="10">
        <v>18800</v>
      </c>
      <c r="C122" s="10">
        <v>25369</v>
      </c>
      <c r="D122" s="10">
        <v>16217</v>
      </c>
      <c r="F122" s="32">
        <f t="shared" si="32"/>
        <v>-0.25893807402735625</v>
      </c>
      <c r="G122" s="32">
        <f t="shared" si="33"/>
        <v>0.564346056607264</v>
      </c>
    </row>
    <row r="123" spans="1:7" x14ac:dyDescent="0.25">
      <c r="A123" t="s">
        <v>155</v>
      </c>
    </row>
    <row r="124" spans="1:7" x14ac:dyDescent="0.25">
      <c r="A124" t="s">
        <v>156</v>
      </c>
      <c r="B124" s="10">
        <v>675</v>
      </c>
      <c r="C124" s="10">
        <v>7061</v>
      </c>
      <c r="D124" s="10">
        <v>11588</v>
      </c>
      <c r="F124" s="39">
        <f t="shared" ref="F124" si="34">+B124/C124-1</f>
        <v>-0.90440447528678658</v>
      </c>
      <c r="G124" s="32">
        <f t="shared" ref="G124:G126" si="35">+C124/D124-1</f>
        <v>-0.39066275457369692</v>
      </c>
    </row>
    <row r="125" spans="1:7" x14ac:dyDescent="0.25">
      <c r="A125" t="s">
        <v>157</v>
      </c>
    </row>
    <row r="126" spans="1:7" x14ac:dyDescent="0.25">
      <c r="A126" t="s">
        <v>158</v>
      </c>
      <c r="B126" s="10">
        <v>3187</v>
      </c>
      <c r="C126" s="10">
        <v>5846</v>
      </c>
      <c r="D126" s="10">
        <v>2267</v>
      </c>
      <c r="F126" s="32">
        <f t="shared" ref="F126" si="36">+B126/C126-1</f>
        <v>-0.45484091686623329</v>
      </c>
      <c r="G126" s="39">
        <f t="shared" si="35"/>
        <v>1.5787384208204678</v>
      </c>
    </row>
    <row r="127" spans="1:7" x14ac:dyDescent="0.25">
      <c r="A127" t="s">
        <v>159</v>
      </c>
      <c r="B127" s="10"/>
      <c r="C127" s="10"/>
      <c r="D127" s="10"/>
    </row>
    <row r="128" spans="1:7" x14ac:dyDescent="0.25">
      <c r="A128" t="s">
        <v>160</v>
      </c>
    </row>
    <row r="129" spans="1:6" x14ac:dyDescent="0.25">
      <c r="A129" t="s">
        <v>161</v>
      </c>
      <c r="B129" s="10">
        <v>5158</v>
      </c>
      <c r="C129" s="10">
        <v>230</v>
      </c>
      <c r="D129" s="10">
        <v>0</v>
      </c>
      <c r="F129" s="32"/>
    </row>
    <row r="130" spans="1:6" x14ac:dyDescent="0.25">
      <c r="B130" s="10"/>
      <c r="C130" s="10"/>
      <c r="D130" s="10"/>
    </row>
  </sheetData>
  <autoFilter ref="A4:I129" xr:uid="{00000000-0001-0000-0100-000000000000}"/>
  <mergeCells count="3">
    <mergeCell ref="A2:D2"/>
    <mergeCell ref="B3:D3"/>
    <mergeCell ref="F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7"/>
  <sheetViews>
    <sheetView tabSelected="1" topLeftCell="A3" zoomScale="118" zoomScaleNormal="118" workbookViewId="0">
      <selection activeCell="C29" sqref="C29"/>
    </sheetView>
    <sheetView workbookViewId="1">
      <selection activeCell="F16" sqref="F16"/>
    </sheetView>
  </sheetViews>
  <sheetFormatPr defaultRowHeight="15" x14ac:dyDescent="0.25"/>
  <cols>
    <col min="1" max="1" width="4.7109375" customWidth="1"/>
    <col min="2" max="2" width="44.85546875" customWidth="1"/>
    <col min="3" max="5" width="11.28515625" customWidth="1"/>
    <col min="7" max="7" width="81" bestFit="1" customWidth="1"/>
  </cols>
  <sheetData>
    <row r="1" spans="1:10" ht="60" customHeight="1" x14ac:dyDescent="0.4">
      <c r="A1" s="7"/>
      <c r="B1" s="20" t="s">
        <v>169</v>
      </c>
      <c r="C1" s="21"/>
      <c r="D1" s="21"/>
      <c r="E1" s="21"/>
      <c r="F1" s="21"/>
      <c r="G1" s="21"/>
      <c r="H1" s="21"/>
      <c r="I1" s="21"/>
      <c r="J1" s="21"/>
    </row>
    <row r="2" spans="1:10" x14ac:dyDescent="0.25">
      <c r="C2" s="41" t="s">
        <v>57</v>
      </c>
      <c r="D2" s="41"/>
      <c r="E2" s="41"/>
    </row>
    <row r="3" spans="1:10" x14ac:dyDescent="0.25">
      <c r="C3" s="9">
        <v>2022</v>
      </c>
      <c r="D3" s="9">
        <v>2021</v>
      </c>
      <c r="E3" s="9">
        <v>2020</v>
      </c>
      <c r="G3" s="38" t="s">
        <v>167</v>
      </c>
    </row>
    <row r="4" spans="1:10" x14ac:dyDescent="0.25">
      <c r="A4" s="22">
        <v>1</v>
      </c>
      <c r="B4" s="9" t="s">
        <v>14</v>
      </c>
      <c r="G4" s="38" t="s">
        <v>168</v>
      </c>
    </row>
    <row r="5" spans="1:10" x14ac:dyDescent="0.25">
      <c r="A5" s="22">
        <f>+A4+0.1</f>
        <v>1.1000000000000001</v>
      </c>
      <c r="B5" s="1" t="s">
        <v>15</v>
      </c>
      <c r="C5" s="31">
        <f>+'Financial Statements'!B44/'Financial Statements'!B57</f>
        <v>0.9446435811136924</v>
      </c>
      <c r="D5" s="31">
        <f>+'Financial Statements'!C44/'Financial Statements'!C57</f>
        <v>1.1357597739445826</v>
      </c>
      <c r="E5" s="31">
        <f>+'Financial Statements'!D44/'Financial Statements'!D57</f>
        <v>1.0502274795268425</v>
      </c>
      <c r="G5" s="38" t="s">
        <v>162</v>
      </c>
    </row>
    <row r="6" spans="1:10" x14ac:dyDescent="0.25">
      <c r="A6" s="22">
        <f t="shared" ref="A6:A13" si="0">+A5+0.1</f>
        <v>1.2000000000000002</v>
      </c>
      <c r="B6" s="1" t="s">
        <v>16</v>
      </c>
      <c r="C6" s="31">
        <f>+('Financial Statements'!B44-'Financial Statements'!B43)/'Financial Statements'!B57</f>
        <v>0.72323721145740161</v>
      </c>
      <c r="D6" s="31">
        <f>+('Financial Statements'!C44-'Financial Statements'!C43)/'Financial Statements'!C57</f>
        <v>0.90633039517523517</v>
      </c>
      <c r="E6" s="31">
        <f>+('Financial Statements'!D44-'Financial Statements'!D43)/'Financial Statements'!D57</f>
        <v>0.86195355461486722</v>
      </c>
      <c r="G6" s="38" t="s">
        <v>163</v>
      </c>
    </row>
    <row r="7" spans="1:10" x14ac:dyDescent="0.25">
      <c r="A7" s="22">
        <f t="shared" si="0"/>
        <v>1.3000000000000003</v>
      </c>
      <c r="B7" s="1" t="s">
        <v>17</v>
      </c>
      <c r="C7" s="31">
        <f>+'Financial Statements'!B40/'Financial Statements'!B54</f>
        <v>0.67698492462311555</v>
      </c>
      <c r="D7" s="31">
        <f>+'Financial Statements'!C40/'Financial Statements'!C54</f>
        <v>0.46043933692667549</v>
      </c>
      <c r="E7" s="31">
        <f>+'Financial Statements'!D40/'Financial Statements'!D54</f>
        <v>0.58068073725857816</v>
      </c>
      <c r="G7" s="38" t="s">
        <v>164</v>
      </c>
    </row>
    <row r="8" spans="1:10" x14ac:dyDescent="0.25">
      <c r="A8" s="22">
        <f t="shared" si="0"/>
        <v>1.4000000000000004</v>
      </c>
      <c r="B8" s="1" t="s">
        <v>18</v>
      </c>
      <c r="C8" s="36">
        <f>+(('Financial Statements'!B40+'Financial Statements'!B41+'Financial Statements'!B42)/(('Financial Statements'!B18-'Financial Statements'!B82)/365))</f>
        <v>239.91209652421585</v>
      </c>
      <c r="D8" s="36">
        <f>+(('Financial Statements'!C40+'Financial Statements'!C41+'Financial Statements'!C42)/(('Financial Statements'!C18-'Financial Statements'!C82)/365))</f>
        <v>340.62721653662987</v>
      </c>
      <c r="E8" s="36">
        <f>+(('Financial Statements'!D40+'Financial Statements'!D41+'Financial Statements'!D42)/(('Financial Statements'!D18-'Financial Statements'!D82)/365))</f>
        <v>379.85412407573705</v>
      </c>
      <c r="G8" s="38" t="s">
        <v>165</v>
      </c>
    </row>
    <row r="9" spans="1:10" x14ac:dyDescent="0.25">
      <c r="A9" s="22">
        <f t="shared" si="0"/>
        <v>1.5000000000000004</v>
      </c>
      <c r="B9" s="1" t="s">
        <v>19</v>
      </c>
      <c r="C9" s="10">
        <f>+('Financial Statements'!B43/'Financial Statements'!B9)*365</f>
        <v>43.4781065744328</v>
      </c>
      <c r="D9" s="10">
        <f>+('Financial Statements'!C43/'Financial Statements'!C9)*365</f>
        <v>43.744675851129458</v>
      </c>
      <c r="E9" s="10">
        <f>+('Financial Statements'!D43/'Financial Statements'!D9)*365</f>
        <v>37.226379834295585</v>
      </c>
      <c r="G9" s="38" t="s">
        <v>166</v>
      </c>
    </row>
    <row r="10" spans="1:10" x14ac:dyDescent="0.25">
      <c r="A10" s="22">
        <f t="shared" si="0"/>
        <v>1.6000000000000005</v>
      </c>
      <c r="B10" s="1" t="s">
        <v>20</v>
      </c>
      <c r="C10" s="10">
        <f>+('Financial Statements'!B54/'Financial Statements'!B10)*365</f>
        <v>100.59169548975007</v>
      </c>
      <c r="D10" s="10">
        <f>+('Financial Statements'!C54/'Financial Statements'!C10)*365</f>
        <v>105.42681314807743</v>
      </c>
      <c r="E10" s="10">
        <f>+('Financial Statements'!D54/'Financial Statements'!D10)*365</f>
        <v>113.48452896826929</v>
      </c>
      <c r="G10" s="37"/>
    </row>
    <row r="11" spans="1:10" x14ac:dyDescent="0.25">
      <c r="A11" s="22">
        <f t="shared" si="0"/>
        <v>1.7000000000000006</v>
      </c>
      <c r="B11" s="1" t="s">
        <v>21</v>
      </c>
      <c r="C11" s="10">
        <f>+('Financial Statements'!B42/'Financial Statements'!B8)*365</f>
        <v>30.081539661817608</v>
      </c>
      <c r="D11" s="10">
        <f>+('Financial Statements'!C42/'Financial Statements'!C8)*365</f>
        <v>25.552688039299991</v>
      </c>
      <c r="E11" s="10">
        <f>+('Financial Statements'!D42/'Financial Statements'!D8)*365</f>
        <v>23.202966347548593</v>
      </c>
    </row>
    <row r="12" spans="1:10" x14ac:dyDescent="0.25">
      <c r="A12" s="22">
        <f t="shared" si="0"/>
        <v>1.8000000000000007</v>
      </c>
      <c r="B12" s="1" t="s">
        <v>22</v>
      </c>
      <c r="C12" s="29">
        <f>+C9+C11-C10</f>
        <v>-27.03204925349965</v>
      </c>
      <c r="D12" s="29">
        <f t="shared" ref="D12:E12" si="1">+D9+D11-D10</f>
        <v>-36.129449257647977</v>
      </c>
      <c r="E12" s="29">
        <f t="shared" si="1"/>
        <v>-53.055182786425107</v>
      </c>
    </row>
    <row r="13" spans="1:10" x14ac:dyDescent="0.25">
      <c r="A13" s="22">
        <f t="shared" si="0"/>
        <v>1.9000000000000008</v>
      </c>
      <c r="B13" s="1" t="s">
        <v>23</v>
      </c>
      <c r="C13" s="32">
        <f>+C14/'Financial Statements'!B8</f>
        <v>-1.6735962084349094E-2</v>
      </c>
      <c r="D13" s="32">
        <f>+D14/'Financial Statements'!C8</f>
        <v>4.1109186032156859E-2</v>
      </c>
      <c r="E13" s="32">
        <f>+E14/'Financial Statements'!D8</f>
        <v>1.6442869576028845E-2</v>
      </c>
    </row>
    <row r="14" spans="1:10" x14ac:dyDescent="0.25">
      <c r="A14" s="22"/>
      <c r="B14" s="19" t="s">
        <v>24</v>
      </c>
      <c r="C14" s="10">
        <f>+'Financial Statements'!B44-'Financial Statements'!B57</f>
        <v>-8602</v>
      </c>
      <c r="D14" s="10">
        <f>+'Financial Statements'!C44-'Financial Statements'!C57</f>
        <v>19314</v>
      </c>
      <c r="E14" s="10">
        <f>+'Financial Statements'!D44-'Financial Statements'!D57</f>
        <v>6348</v>
      </c>
    </row>
    <row r="15" spans="1:10" x14ac:dyDescent="0.25">
      <c r="A15" s="22"/>
    </row>
    <row r="16" spans="1:10" x14ac:dyDescent="0.25">
      <c r="A16" s="22">
        <f>+A4+1</f>
        <v>2</v>
      </c>
      <c r="B16" s="23" t="s">
        <v>25</v>
      </c>
    </row>
    <row r="17" spans="1:5" x14ac:dyDescent="0.25">
      <c r="A17" s="22">
        <f>+A16+0.1</f>
        <v>2.1</v>
      </c>
      <c r="B17" s="1" t="s">
        <v>11</v>
      </c>
      <c r="C17" s="32">
        <f>+'Financial Statements'!B11/'Financial Statements'!B8</f>
        <v>0.43805339865326287</v>
      </c>
      <c r="D17" s="32">
        <f>+'Financial Statements'!C11/'Financial Statements'!C8</f>
        <v>0.42032514441639601</v>
      </c>
      <c r="E17" s="32">
        <f>+'Financial Statements'!D11/'Financial Statements'!D8</f>
        <v>0.3956779186870571</v>
      </c>
    </row>
    <row r="18" spans="1:5" x14ac:dyDescent="0.25">
      <c r="A18" s="22">
        <f>+A17+0.1</f>
        <v>2.2000000000000002</v>
      </c>
      <c r="B18" s="1" t="s">
        <v>26</v>
      </c>
      <c r="C18" s="32">
        <f>+C19/'Financial Statements'!B8</f>
        <v>0.10539064521589235</v>
      </c>
      <c r="D18" s="32">
        <f>+D19/'Financial Statements'!C8</f>
        <v>0.12624355607017126</v>
      </c>
      <c r="E18" s="32">
        <f>+E19/'Financial Statements'!D8</f>
        <v>0.12453634630527581</v>
      </c>
    </row>
    <row r="19" spans="1:5" x14ac:dyDescent="0.25">
      <c r="A19" s="22"/>
      <c r="B19" s="19" t="s">
        <v>27</v>
      </c>
      <c r="C19" s="10">
        <f>+'Financial Statements'!B19+'Financial Statements'!B82</f>
        <v>54169</v>
      </c>
      <c r="D19" s="10">
        <f>+'Financial Statements'!C19+'Financial Statements'!C82</f>
        <v>59312</v>
      </c>
      <c r="E19" s="10">
        <f>+'Financial Statements'!D19+'Financial Statements'!D82</f>
        <v>48079</v>
      </c>
    </row>
    <row r="20" spans="1:5" x14ac:dyDescent="0.25">
      <c r="A20" s="22">
        <f>+A18+0.1</f>
        <v>2.3000000000000003</v>
      </c>
      <c r="B20" s="1" t="s">
        <v>28</v>
      </c>
      <c r="C20" s="32">
        <f>+C21/'Financial Statements'!B8</f>
        <v>2.3829581912242232E-2</v>
      </c>
      <c r="D20" s="32">
        <f>+D21/'Financial Statements'!C8</f>
        <v>5.2954097509269465E-2</v>
      </c>
      <c r="E20" s="32">
        <f>+E21/'Financial Statements'!D8</f>
        <v>5.9313999751336569E-2</v>
      </c>
    </row>
    <row r="21" spans="1:5" x14ac:dyDescent="0.25">
      <c r="A21" s="22"/>
      <c r="B21" s="19" t="s">
        <v>29</v>
      </c>
      <c r="C21" s="10">
        <f>+'Financial Statements'!B19</f>
        <v>12248</v>
      </c>
      <c r="D21" s="10">
        <f>+'Financial Statements'!C19</f>
        <v>24879</v>
      </c>
      <c r="E21" s="10">
        <f>+'Financial Statements'!D19</f>
        <v>22899</v>
      </c>
    </row>
    <row r="22" spans="1:5" x14ac:dyDescent="0.25">
      <c r="A22" s="22">
        <f>+A20+0.1</f>
        <v>2.4000000000000004</v>
      </c>
      <c r="B22" s="1" t="s">
        <v>30</v>
      </c>
      <c r="C22" s="32">
        <f>+'Financial Statements'!B26/'Financial Statements'!B8</f>
        <v>-5.2958950004183018E-3</v>
      </c>
      <c r="D22" s="32">
        <f>+'Financial Statements'!C26/'Financial Statements'!C8</f>
        <v>7.1014128755145567E-2</v>
      </c>
      <c r="E22" s="32">
        <f>+'Financial Statements'!D26/'Financial Statements'!D8</f>
        <v>5.5252496995316841E-2</v>
      </c>
    </row>
    <row r="23" spans="1:5" x14ac:dyDescent="0.25">
      <c r="A23" s="22"/>
    </row>
    <row r="24" spans="1:5" x14ac:dyDescent="0.25">
      <c r="A24" s="22">
        <f>+A16+1</f>
        <v>3</v>
      </c>
      <c r="B24" s="9" t="s">
        <v>31</v>
      </c>
    </row>
    <row r="25" spans="1:5" x14ac:dyDescent="0.25">
      <c r="A25" s="22">
        <f>+A24+0.1</f>
        <v>3.1</v>
      </c>
      <c r="B25" s="1" t="s">
        <v>32</v>
      </c>
      <c r="C25" s="31">
        <f>+'Financial Statements'!B60/'Financial Statements'!B71</f>
        <v>0.45979608745369516</v>
      </c>
      <c r="D25" s="31">
        <f>+'Financial Statements'!C60/'Financial Statements'!C71</f>
        <v>0.35259141379435061</v>
      </c>
      <c r="E25" s="31">
        <f>+'Financial Statements'!D60/'Financial Statements'!D71</f>
        <v>0.34062781037214679</v>
      </c>
    </row>
    <row r="26" spans="1:5" x14ac:dyDescent="0.25">
      <c r="A26" s="22">
        <f t="shared" ref="A26:A30" si="2">+A25+0.1</f>
        <v>3.2</v>
      </c>
      <c r="B26" s="1" t="s">
        <v>33</v>
      </c>
      <c r="C26" s="31">
        <f>+'Financial Statements'!B60/'Financial Statements'!B51</f>
        <v>0.14513427351812827</v>
      </c>
      <c r="D26" s="31">
        <f>+'Financial Statements'!C60/'Financial Statements'!C51</f>
        <v>0.11590563763081116</v>
      </c>
      <c r="E26" s="31">
        <f>+'Financial Statements'!D60/'Financial Statements'!D51</f>
        <v>9.9055091144009094E-2</v>
      </c>
    </row>
    <row r="27" spans="1:5" x14ac:dyDescent="0.25">
      <c r="A27" s="22">
        <f t="shared" si="2"/>
        <v>3.3000000000000003</v>
      </c>
      <c r="B27" s="1" t="s">
        <v>34</v>
      </c>
      <c r="C27" s="31">
        <f>+'Financial Statements'!B60/'Financial Statements'!B71</f>
        <v>0.45979608745369516</v>
      </c>
      <c r="D27" s="31">
        <f>+'Financial Statements'!C60/'Financial Statements'!C71</f>
        <v>0.35259141379435061</v>
      </c>
      <c r="E27" s="31">
        <f>+'Financial Statements'!D60/'Financial Statements'!D71</f>
        <v>0.34062781037214679</v>
      </c>
    </row>
    <row r="28" spans="1:5" x14ac:dyDescent="0.25">
      <c r="A28" s="22">
        <f t="shared" si="2"/>
        <v>3.4000000000000004</v>
      </c>
      <c r="B28" s="1" t="s">
        <v>35</v>
      </c>
      <c r="C28" s="31">
        <f>+'Financial Statements'!B19/'Financial Statements'!B117</f>
        <v>7.8462524023062139</v>
      </c>
      <c r="D28" s="31">
        <f>+'Financial Statements'!C19/'Financial Statements'!C117</f>
        <v>22.65846994535519</v>
      </c>
      <c r="E28" s="31">
        <f>+'Financial Statements'!D19/'Financial Statements'!D117</f>
        <v>24.998908296943231</v>
      </c>
    </row>
    <row r="29" spans="1:5" x14ac:dyDescent="0.25">
      <c r="A29" s="22">
        <f t="shared" si="2"/>
        <v>3.5000000000000004</v>
      </c>
      <c r="B29" s="1" t="s">
        <v>36</v>
      </c>
      <c r="C29" s="31">
        <f>+('Financial Statements'!B19/('Financial Statements'!B117+'Financial Statements'!B118+'Financial Statements'!B119-+'Financial Statements'!B107-+'Financial Statements'!B108))</f>
        <v>0.61961855617949102</v>
      </c>
      <c r="D29" s="31">
        <f>+('Financial Statements'!C19/('Financial Statements'!C117+'Financial Statements'!C118+'Financial Statements'!C119-+'Financial Statements'!C107-+'Financial Statements'!C108))</f>
        <v>1.179434910401062</v>
      </c>
      <c r="E29" s="31">
        <f>+('Financial Statements'!D19/('Financial Statements'!D117+'Financial Statements'!D118+'Financial Statements'!D119-+'Financial Statements'!D107-+'Financial Statements'!D108))</f>
        <v>1.2583250906693044</v>
      </c>
    </row>
    <row r="30" spans="1:5" x14ac:dyDescent="0.25">
      <c r="A30" s="22">
        <f t="shared" si="2"/>
        <v>3.6000000000000005</v>
      </c>
      <c r="B30" s="1" t="s">
        <v>37</v>
      </c>
      <c r="C30" s="10">
        <f>C31/'Financial Statements'!B32</f>
        <v>-1.6579644714888606</v>
      </c>
      <c r="D30" s="10">
        <f>D31/'Financial Statements'!C32</f>
        <v>-1.4302641802641802</v>
      </c>
      <c r="E30" s="10">
        <f>E31/'Financial Statements'!D32</f>
        <v>2.542067071974897</v>
      </c>
    </row>
    <row r="31" spans="1:5" x14ac:dyDescent="0.25">
      <c r="A31" s="22"/>
      <c r="B31" s="19" t="s">
        <v>38</v>
      </c>
      <c r="C31" s="10">
        <f>+'Financial Statements'!B93+'Financial Statements'!B95</f>
        <v>-16893</v>
      </c>
      <c r="D31" s="10">
        <f>+'Financial Statements'!C93+'Financial Statements'!C95</f>
        <v>-14726</v>
      </c>
      <c r="E31" s="10">
        <f>+'Financial Statements'!D93+'Financial Statements'!D95</f>
        <v>25924</v>
      </c>
    </row>
    <row r="32" spans="1:5" x14ac:dyDescent="0.25">
      <c r="A32" s="22"/>
    </row>
    <row r="33" spans="1:5" x14ac:dyDescent="0.25">
      <c r="A33" s="22">
        <f>+A24+1</f>
        <v>4</v>
      </c>
      <c r="B33" s="23" t="s">
        <v>170</v>
      </c>
    </row>
    <row r="34" spans="1:5" x14ac:dyDescent="0.25">
      <c r="A34" s="22">
        <f>+A33+0.1</f>
        <v>4.0999999999999996</v>
      </c>
      <c r="B34" s="1" t="s">
        <v>39</v>
      </c>
      <c r="C34" s="31">
        <f>+'Financial Statements'!B8/'Financial Statements'!B51</f>
        <v>1.1108942562273734</v>
      </c>
      <c r="D34" s="31">
        <f>+'Financial Statements'!C8/'Financial Statements'!C51</f>
        <v>1.1171635172120253</v>
      </c>
      <c r="E34" s="31">
        <f>+'Financial Statements'!D8/'Financial Statements'!D51</f>
        <v>1.2019614253023865</v>
      </c>
    </row>
    <row r="35" spans="1:5" x14ac:dyDescent="0.25">
      <c r="A35" s="22">
        <f t="shared" ref="A35:A37" si="3">+A34+0.1</f>
        <v>4.1999999999999993</v>
      </c>
      <c r="B35" s="1" t="s">
        <v>40</v>
      </c>
      <c r="C35" s="31">
        <f>+'Financial Statements'!B8/('Financial Statements'!B46-'Financial Statements'!B82)</f>
        <v>3.5497534428222166</v>
      </c>
      <c r="D35" s="31">
        <f>+'Financial Statements'!C8/('Financial Statements'!C46-'Financial Statements'!C82)</f>
        <v>3.7332496344796899</v>
      </c>
      <c r="E35" s="31">
        <f>+'Financial Statements'!D8/('Financial Statements'!D46-'Financial Statements'!D82)</f>
        <v>4.390383696863557</v>
      </c>
    </row>
    <row r="36" spans="1:5" x14ac:dyDescent="0.25">
      <c r="A36" s="22">
        <f t="shared" si="3"/>
        <v>4.2999999999999989</v>
      </c>
      <c r="B36" s="1" t="s">
        <v>41</v>
      </c>
      <c r="C36" s="31">
        <f>+'Financial Statements'!B10/'Financial Statements'!B43</f>
        <v>8.3950297921813686</v>
      </c>
      <c r="D36" s="31">
        <f>+'Financial Statements'!C10/'Financial Statements'!C43</f>
        <v>8.3438725490196077</v>
      </c>
      <c r="E36" s="31">
        <f>+'Financial Statements'!D10/'Financial Statements'!D43</f>
        <v>9.8048749737339769</v>
      </c>
    </row>
    <row r="37" spans="1:5" x14ac:dyDescent="0.25">
      <c r="A37" s="22">
        <f t="shared" si="3"/>
        <v>4.3999999999999986</v>
      </c>
      <c r="B37" s="1" t="s">
        <v>42</v>
      </c>
      <c r="C37" s="32">
        <f>+'Financial Statements'!B26/'Financial Statements'!B51</f>
        <v>-5.8831793375479545E-3</v>
      </c>
      <c r="D37" s="32">
        <f>+'Financial Statements'!C26/'Financial Statements'!C51</f>
        <v>7.9334393851846041E-2</v>
      </c>
      <c r="E37" s="32">
        <f>+'Financial Statements'!D26/'Financial Statements'!D51</f>
        <v>6.6411370040006856E-2</v>
      </c>
    </row>
    <row r="38" spans="1:5" x14ac:dyDescent="0.25">
      <c r="A38" s="22"/>
    </row>
    <row r="39" spans="1:5" x14ac:dyDescent="0.25">
      <c r="A39" s="22">
        <f>+A33+1</f>
        <v>5</v>
      </c>
      <c r="B39" s="23" t="s">
        <v>43</v>
      </c>
    </row>
    <row r="40" spans="1:5" x14ac:dyDescent="0.25">
      <c r="A40" s="22">
        <f>+A39+0.1</f>
        <v>5.0999999999999996</v>
      </c>
      <c r="B40" s="1" t="s">
        <v>44</v>
      </c>
      <c r="C40" s="31">
        <f>+'Financial Statements'!B33/'List of Ratios'!C41</f>
        <v>-311.11111111111109</v>
      </c>
      <c r="D40" s="31">
        <f>+'Financial Statements'!C33/'List of Ratios'!D41</f>
        <v>51.456790123456784</v>
      </c>
      <c r="E40" s="31">
        <f>+'Financial Statements'!D33/'List of Ratios'!E41</f>
        <v>77.918660287081337</v>
      </c>
    </row>
    <row r="41" spans="1:5" x14ac:dyDescent="0.25">
      <c r="A41" s="22">
        <f t="shared" ref="A41:A50" si="4">+A40+0.1</f>
        <v>5.1999999999999993</v>
      </c>
      <c r="B41" s="19" t="s">
        <v>45</v>
      </c>
      <c r="C41" s="31">
        <f>+'Financial Statements'!B29</f>
        <v>-0.27</v>
      </c>
      <c r="D41">
        <f>+'Financial Statements'!C29</f>
        <v>3.24</v>
      </c>
      <c r="E41">
        <f>+'Financial Statements'!D29</f>
        <v>2.09</v>
      </c>
    </row>
    <row r="42" spans="1:5" x14ac:dyDescent="0.25">
      <c r="A42" s="22">
        <f t="shared" si="4"/>
        <v>5.2999999999999989</v>
      </c>
      <c r="B42" s="1" t="s">
        <v>46</v>
      </c>
      <c r="C42" s="35">
        <f>+'Financial Statements'!B33/'List of Ratios'!C43</f>
        <v>5.8604383640434667</v>
      </c>
      <c r="D42" s="35">
        <f>+'Financial Statements'!C33/'List of Ratios'!D43</f>
        <v>12.416717566638939</v>
      </c>
      <c r="E42" s="35">
        <f>+'Financial Statements'!D33/'List of Ratios'!E43</f>
        <v>17.780226756884073</v>
      </c>
    </row>
    <row r="43" spans="1:5" x14ac:dyDescent="0.25">
      <c r="A43" s="22">
        <f t="shared" si="4"/>
        <v>5.3999999999999986</v>
      </c>
      <c r="B43" s="19" t="s">
        <v>47</v>
      </c>
      <c r="C43" s="10">
        <f>+'Financial Statements'!B71/('Financial Statements'!B32)</f>
        <v>14.333398763372264</v>
      </c>
      <c r="D43" s="10">
        <f>+'Financial Statements'!C71/('Financial Statements'!C32)</f>
        <v>13.427059052059052</v>
      </c>
      <c r="E43" s="10">
        <f>+'Financial Statements'!D71/('Financial Statements'!D32)</f>
        <v>9.1590507942733872</v>
      </c>
    </row>
    <row r="44" spans="1:5" x14ac:dyDescent="0.25">
      <c r="A44" s="22">
        <f t="shared" si="4"/>
        <v>5.4999999999999982</v>
      </c>
      <c r="B44" s="1" t="s">
        <v>48</v>
      </c>
      <c r="C44" s="31">
        <v>0</v>
      </c>
      <c r="D44" s="31">
        <v>0</v>
      </c>
      <c r="E44" s="31">
        <v>0</v>
      </c>
    </row>
    <row r="45" spans="1:5" x14ac:dyDescent="0.25">
      <c r="A45" s="22">
        <f t="shared" si="4"/>
        <v>5.5999999999999979</v>
      </c>
      <c r="B45" s="19" t="s">
        <v>49</v>
      </c>
      <c r="C45" s="31">
        <v>0</v>
      </c>
      <c r="D45" s="31">
        <v>0</v>
      </c>
      <c r="E45" s="31">
        <v>0</v>
      </c>
    </row>
    <row r="46" spans="1:5" x14ac:dyDescent="0.25">
      <c r="A46" s="22">
        <f t="shared" si="4"/>
        <v>5.6999999999999975</v>
      </c>
      <c r="B46" s="1" t="s">
        <v>50</v>
      </c>
      <c r="C46" s="31">
        <v>0</v>
      </c>
      <c r="D46" s="31">
        <v>0</v>
      </c>
      <c r="E46" s="31">
        <v>0</v>
      </c>
    </row>
    <row r="47" spans="1:5" x14ac:dyDescent="0.25">
      <c r="A47" s="22">
        <f t="shared" si="4"/>
        <v>5.7999999999999972</v>
      </c>
      <c r="B47" s="1" t="s">
        <v>51</v>
      </c>
      <c r="C47" s="32">
        <f>+'Financial Statements'!B8/'Financial Statements'!B71</f>
        <v>3.5193949727135161</v>
      </c>
      <c r="D47" s="32">
        <f>+'Financial Statements'!C8/'Financial Statements'!C71</f>
        <v>3.3984737241853233</v>
      </c>
      <c r="E47" s="32">
        <f>+'Financial Statements'!D8/'Financial Statements'!D71</f>
        <v>4.1332705237463063</v>
      </c>
    </row>
    <row r="48" spans="1:5" x14ac:dyDescent="0.25">
      <c r="A48" s="22">
        <f t="shared" si="4"/>
        <v>5.8999999999999968</v>
      </c>
      <c r="B48" s="1" t="s">
        <v>52</v>
      </c>
      <c r="C48" s="33">
        <f>+'Financial Statements'!B19/('Financial Statements'!B51-'Financial Statements'!B57)</f>
        <v>3.985915217943127E-2</v>
      </c>
      <c r="D48" s="32">
        <f>+'Financial Statements'!C19/('Financial Statements'!C51-'Financial Statements'!C57)</f>
        <v>8.9401796013410806E-2</v>
      </c>
      <c r="E48" s="32">
        <f>+'Financial Statements'!D19/('Financial Statements'!D51-'Financial Statements'!D57)</f>
        <v>0.11754530054925312</v>
      </c>
    </row>
    <row r="49" spans="1:5" x14ac:dyDescent="0.25">
      <c r="A49" s="22">
        <f t="shared" si="4"/>
        <v>5.9999999999999964</v>
      </c>
      <c r="B49" s="1" t="s">
        <v>42</v>
      </c>
      <c r="C49" s="32">
        <f>+'Financial Statements'!B26/'Financial Statements'!B51</f>
        <v>-5.8831793375479545E-3</v>
      </c>
      <c r="D49" s="32">
        <f>+'Financial Statements'!C26/'Financial Statements'!C51</f>
        <v>7.9334393851846041E-2</v>
      </c>
      <c r="E49" s="32">
        <f>+'Financial Statements'!D26/'Financial Statements'!D51</f>
        <v>6.6411370040006856E-2</v>
      </c>
    </row>
    <row r="50" spans="1:5" x14ac:dyDescent="0.25">
      <c r="A50" s="22">
        <f t="shared" si="4"/>
        <v>6.0999999999999961</v>
      </c>
      <c r="B50" s="1" t="s">
        <v>53</v>
      </c>
      <c r="C50" s="10">
        <f>+C51/C19</f>
        <v>16.044933449020657</v>
      </c>
      <c r="D50" s="10">
        <f t="shared" ref="D50:E50" si="5">+D51/D19</f>
        <v>29.152163474507685</v>
      </c>
      <c r="E50" s="10">
        <f t="shared" si="5"/>
        <v>34.327633686224758</v>
      </c>
    </row>
    <row r="51" spans="1:5" x14ac:dyDescent="0.25">
      <c r="A51" s="22"/>
      <c r="B51" s="19" t="s">
        <v>54</v>
      </c>
      <c r="C51" s="10">
        <f>+(('Financial Statements'!B32)*'Financial Statements'!B33)+'Financial Statements'!B60-'Financial Statements'!B40</f>
        <v>869138</v>
      </c>
      <c r="D51" s="10">
        <f>+(('Financial Statements'!C32)*'Financial Statements'!C33)+'Financial Statements'!C60-'Financial Statements'!C40</f>
        <v>1729073.1199999999</v>
      </c>
      <c r="E51" s="10">
        <f>+(('Financial Statements'!D32)*'Financial Statements'!D33)+'Financial Statements'!D60-'Financial Statements'!D40</f>
        <v>1650438.3</v>
      </c>
    </row>
    <row r="53" spans="1:5" x14ac:dyDescent="0.25">
      <c r="C53" s="41"/>
      <c r="D53" s="41"/>
      <c r="E53" s="41"/>
    </row>
    <row r="54" spans="1:5" x14ac:dyDescent="0.25">
      <c r="C54" s="41"/>
      <c r="D54" s="41"/>
      <c r="E54" s="41"/>
    </row>
    <row r="55" spans="1:5" x14ac:dyDescent="0.25">
      <c r="C55" s="33"/>
      <c r="D55" s="9"/>
      <c r="E55" s="9"/>
    </row>
    <row r="57" spans="1:5" x14ac:dyDescent="0.25">
      <c r="C57" s="32"/>
      <c r="D57" s="32"/>
    </row>
    <row r="58" spans="1:5" x14ac:dyDescent="0.25">
      <c r="C58" s="32"/>
      <c r="D58" s="32"/>
    </row>
    <row r="59" spans="1:5" x14ac:dyDescent="0.25">
      <c r="C59" s="32"/>
      <c r="D59" s="32"/>
    </row>
    <row r="60" spans="1:5" x14ac:dyDescent="0.25">
      <c r="C60" s="32"/>
      <c r="D60" s="32"/>
    </row>
    <row r="61" spans="1:5" x14ac:dyDescent="0.25">
      <c r="C61" s="32"/>
      <c r="D61" s="32"/>
    </row>
    <row r="64" spans="1:5" x14ac:dyDescent="0.25">
      <c r="C64" s="32"/>
      <c r="D64" s="32"/>
    </row>
    <row r="65" spans="3:4" x14ac:dyDescent="0.25">
      <c r="C65" s="32"/>
      <c r="D65" s="32"/>
    </row>
    <row r="66" spans="3:4" x14ac:dyDescent="0.25">
      <c r="C66" s="32"/>
      <c r="D66" s="32"/>
    </row>
    <row r="69" spans="3:4" x14ac:dyDescent="0.25">
      <c r="C69" s="32"/>
      <c r="D69" s="32"/>
    </row>
    <row r="70" spans="3:4" x14ac:dyDescent="0.25">
      <c r="C70" s="32"/>
      <c r="D70" s="32"/>
    </row>
    <row r="71" spans="3:4" x14ac:dyDescent="0.25">
      <c r="C71" s="32"/>
      <c r="D71" s="32"/>
    </row>
    <row r="72" spans="3:4" x14ac:dyDescent="0.25">
      <c r="C72" s="32"/>
      <c r="D72" s="32"/>
    </row>
    <row r="73" spans="3:4" x14ac:dyDescent="0.25">
      <c r="C73" s="32"/>
      <c r="D73" s="32"/>
    </row>
    <row r="74" spans="3:4" x14ac:dyDescent="0.25">
      <c r="C74" s="32"/>
      <c r="D74" s="32"/>
    </row>
    <row r="75" spans="3:4" x14ac:dyDescent="0.25">
      <c r="C75" s="32"/>
      <c r="D75" s="32"/>
    </row>
    <row r="76" spans="3:4" x14ac:dyDescent="0.25">
      <c r="C76" s="32"/>
      <c r="D76" s="32"/>
    </row>
    <row r="77" spans="3:4" x14ac:dyDescent="0.25">
      <c r="C77" s="32"/>
      <c r="D77" s="32"/>
    </row>
    <row r="78" spans="3:4" x14ac:dyDescent="0.25">
      <c r="C78" s="32"/>
      <c r="D78" s="32"/>
    </row>
    <row r="79" spans="3:4" x14ac:dyDescent="0.25">
      <c r="C79" s="32"/>
      <c r="D79" s="32"/>
    </row>
    <row r="80" spans="3:4" x14ac:dyDescent="0.25">
      <c r="C80" s="32"/>
      <c r="D80" s="32"/>
    </row>
    <row r="81" spans="3:5" x14ac:dyDescent="0.25">
      <c r="C81" s="9"/>
      <c r="D81" s="9"/>
      <c r="E81" s="9"/>
    </row>
    <row r="82" spans="3:5" x14ac:dyDescent="0.25">
      <c r="C82" s="32"/>
      <c r="D82" s="32"/>
      <c r="E82" s="32"/>
    </row>
    <row r="83" spans="3:5" x14ac:dyDescent="0.25">
      <c r="C83" s="32"/>
      <c r="D83" s="32"/>
      <c r="E83" s="32"/>
    </row>
    <row r="84" spans="3:5" x14ac:dyDescent="0.25">
      <c r="C84" s="32"/>
      <c r="D84" s="32"/>
      <c r="E84" s="32"/>
    </row>
    <row r="85" spans="3:5" x14ac:dyDescent="0.25">
      <c r="C85" s="32"/>
      <c r="D85" s="32"/>
      <c r="E85" s="32"/>
    </row>
    <row r="86" spans="3:5" x14ac:dyDescent="0.25">
      <c r="C86" s="32"/>
      <c r="D86" s="32"/>
      <c r="E86" s="32"/>
    </row>
    <row r="87" spans="3:5" x14ac:dyDescent="0.25">
      <c r="C87" s="32"/>
      <c r="D87" s="32"/>
      <c r="E87" s="32"/>
    </row>
    <row r="88" spans="3:5" x14ac:dyDescent="0.25">
      <c r="C88" s="32"/>
      <c r="D88" s="32"/>
      <c r="E88" s="32"/>
    </row>
    <row r="89" spans="3:5" x14ac:dyDescent="0.25">
      <c r="C89" s="32"/>
      <c r="D89" s="32"/>
      <c r="E89" s="32"/>
    </row>
    <row r="90" spans="3:5" x14ac:dyDescent="0.25">
      <c r="C90" s="32"/>
      <c r="D90" s="32"/>
      <c r="E90" s="32"/>
    </row>
    <row r="92" spans="3:5" x14ac:dyDescent="0.25">
      <c r="C92" s="34"/>
      <c r="D92" s="34"/>
      <c r="E92" s="34"/>
    </row>
    <row r="93" spans="3:5" x14ac:dyDescent="0.25">
      <c r="C93" s="41"/>
      <c r="D93" s="41"/>
      <c r="E93" s="41"/>
    </row>
    <row r="94" spans="3:5" x14ac:dyDescent="0.25">
      <c r="C94" s="9"/>
      <c r="D94" s="9"/>
      <c r="E94" s="9"/>
    </row>
    <row r="95" spans="3:5" x14ac:dyDescent="0.25">
      <c r="C95" s="32"/>
      <c r="D95" s="32"/>
      <c r="E95" s="32"/>
    </row>
    <row r="96" spans="3:5" x14ac:dyDescent="0.25">
      <c r="C96" s="32"/>
      <c r="D96" s="32"/>
      <c r="E96" s="32"/>
    </row>
    <row r="97" spans="3:5" x14ac:dyDescent="0.25">
      <c r="C97" s="32"/>
      <c r="D97" s="32"/>
      <c r="E97" s="32"/>
    </row>
  </sheetData>
  <mergeCells count="4">
    <mergeCell ref="C2:E2"/>
    <mergeCell ref="C54:E54"/>
    <mergeCell ref="C93:E93"/>
    <mergeCell ref="C53:E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Rupen</cp:lastModifiedBy>
  <dcterms:created xsi:type="dcterms:W3CDTF">2020-05-19T16:15:53Z</dcterms:created>
  <dcterms:modified xsi:type="dcterms:W3CDTF">2024-03-25T04:49:51Z</dcterms:modified>
</cp:coreProperties>
</file>