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hah\Downloads\"/>
    </mc:Choice>
  </mc:AlternateContent>
  <xr:revisionPtr revIDLastSave="0" documentId="8_{4E5276B9-C96F-4795-8427-1CCD35795449}" xr6:coauthVersionLast="47" xr6:coauthVersionMax="47" xr10:uidLastSave="{00000000-0000-0000-0000-000000000000}"/>
  <bookViews>
    <workbookView xWindow="38280" yWindow="-120" windowWidth="38640" windowHeight="21120" activeTab="1" xr2:uid="{00000000-000D-0000-FFFF-FFFF00000000}"/>
  </bookViews>
  <sheets>
    <sheet name="Sheet1" sheetId="2" r:id="rId1"/>
    <sheet name="Historicals" sheetId="5" r:id="rId2"/>
    <sheet name="Segmental forecast" sheetId="6" r:id="rId3"/>
    <sheet name="Three Statements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8" l="1"/>
  <c r="B24" i="8"/>
  <c r="B30" i="8"/>
  <c r="B48" i="8"/>
  <c r="N55" i="8"/>
  <c r="M55" i="8"/>
  <c r="L55" i="8"/>
  <c r="K55" i="8"/>
  <c r="J55" i="8"/>
  <c r="N47" i="8"/>
  <c r="M47" i="8"/>
  <c r="L47" i="8"/>
  <c r="K47" i="8"/>
  <c r="J47" i="8"/>
  <c r="J63" i="8"/>
  <c r="K63" i="8" s="1"/>
  <c r="L63" i="8" s="1"/>
  <c r="M63" i="8" s="1"/>
  <c r="N63" i="8" s="1"/>
  <c r="M9" i="8"/>
  <c r="N9" i="8"/>
  <c r="L9" i="8"/>
  <c r="K9" i="8"/>
  <c r="J9" i="8"/>
  <c r="N7" i="8"/>
  <c r="N46" i="8" s="1"/>
  <c r="M7" i="8"/>
  <c r="M46" i="8" s="1"/>
  <c r="L7" i="8"/>
  <c r="L46" i="8" s="1"/>
  <c r="K7" i="8"/>
  <c r="K46" i="8" s="1"/>
  <c r="J7" i="8"/>
  <c r="J46" i="8" s="1"/>
  <c r="J6" i="8"/>
  <c r="K6" i="8"/>
  <c r="L6" i="8"/>
  <c r="M6" i="8"/>
  <c r="N6" i="8"/>
  <c r="J5" i="8"/>
  <c r="K5" i="8"/>
  <c r="L5" i="8"/>
  <c r="M5" i="8"/>
  <c r="N5" i="8"/>
  <c r="N3" i="8"/>
  <c r="N23" i="8" s="1"/>
  <c r="M3" i="8"/>
  <c r="M23" i="8" s="1"/>
  <c r="N51" i="8" s="1"/>
  <c r="L3" i="8"/>
  <c r="L23" i="8" s="1"/>
  <c r="M51" i="8" s="1"/>
  <c r="K3" i="8"/>
  <c r="K23" i="8" s="1"/>
  <c r="J3" i="8"/>
  <c r="J23" i="8" s="1"/>
  <c r="K19" i="8"/>
  <c r="L19" i="8" s="1"/>
  <c r="M19" i="8" s="1"/>
  <c r="N19" i="8" s="1"/>
  <c r="K13" i="8"/>
  <c r="L13" i="8" s="1"/>
  <c r="M13" i="8" s="1"/>
  <c r="N13" i="8" s="1"/>
  <c r="I38" i="8"/>
  <c r="J38" i="8" s="1"/>
  <c r="K38" i="8" s="1"/>
  <c r="L38" i="8" s="1"/>
  <c r="M38" i="8" s="1"/>
  <c r="N38" i="8" s="1"/>
  <c r="H38" i="8"/>
  <c r="H37" i="8"/>
  <c r="G38" i="8"/>
  <c r="F38" i="8"/>
  <c r="E38" i="8"/>
  <c r="D38" i="8"/>
  <c r="C38" i="8"/>
  <c r="B38" i="8"/>
  <c r="I17" i="8"/>
  <c r="H17" i="8"/>
  <c r="G17" i="8"/>
  <c r="G19" i="8" s="1"/>
  <c r="F17" i="8"/>
  <c r="E17" i="8"/>
  <c r="E18" i="8" s="1"/>
  <c r="D17" i="8"/>
  <c r="C17" i="8"/>
  <c r="B17" i="8"/>
  <c r="F12" i="8"/>
  <c r="G51" i="8"/>
  <c r="I68" i="8"/>
  <c r="J67" i="8" s="1"/>
  <c r="J50" i="8" s="1"/>
  <c r="H68" i="8"/>
  <c r="I67" i="8"/>
  <c r="H67" i="8"/>
  <c r="I65" i="8"/>
  <c r="H65" i="8"/>
  <c r="I63" i="8"/>
  <c r="H63" i="8"/>
  <c r="I62" i="8"/>
  <c r="J62" i="8" s="1"/>
  <c r="K62" i="8" s="1"/>
  <c r="L62" i="8" s="1"/>
  <c r="M62" i="8" s="1"/>
  <c r="N62" i="8" s="1"/>
  <c r="H62" i="8"/>
  <c r="I61" i="8"/>
  <c r="H61" i="8"/>
  <c r="I59" i="8"/>
  <c r="J59" i="8" s="1"/>
  <c r="H59" i="8"/>
  <c r="I60" i="8" s="1"/>
  <c r="I57" i="8"/>
  <c r="H57" i="8"/>
  <c r="I55" i="8"/>
  <c r="H55" i="8"/>
  <c r="I50" i="8"/>
  <c r="H50" i="8"/>
  <c r="I48" i="8"/>
  <c r="H48" i="8"/>
  <c r="I47" i="8"/>
  <c r="H47" i="8"/>
  <c r="I46" i="8"/>
  <c r="H46" i="8"/>
  <c r="H49" i="8" s="1"/>
  <c r="G68" i="8"/>
  <c r="G67" i="8"/>
  <c r="G65" i="8"/>
  <c r="G63" i="8"/>
  <c r="G62" i="8"/>
  <c r="G61" i="8"/>
  <c r="G59" i="8"/>
  <c r="G64" i="8" s="1"/>
  <c r="G57" i="8"/>
  <c r="G55" i="8"/>
  <c r="G50" i="8"/>
  <c r="G48" i="8"/>
  <c r="G47" i="8"/>
  <c r="G46" i="8"/>
  <c r="F68" i="8"/>
  <c r="F67" i="8"/>
  <c r="F65" i="8"/>
  <c r="F63" i="8"/>
  <c r="F62" i="8"/>
  <c r="F61" i="8"/>
  <c r="F59" i="8"/>
  <c r="F57" i="8"/>
  <c r="F55" i="8"/>
  <c r="F50" i="8"/>
  <c r="F48" i="8"/>
  <c r="F49" i="8" s="1"/>
  <c r="F47" i="8"/>
  <c r="F46" i="8"/>
  <c r="E68" i="8"/>
  <c r="E67" i="8"/>
  <c r="E65" i="8"/>
  <c r="E63" i="8"/>
  <c r="E62" i="8"/>
  <c r="E61" i="8"/>
  <c r="E59" i="8"/>
  <c r="E57" i="8"/>
  <c r="E58" i="8" s="1"/>
  <c r="E55" i="8"/>
  <c r="E50" i="8"/>
  <c r="E48" i="8"/>
  <c r="E47" i="8"/>
  <c r="E46" i="8"/>
  <c r="D68" i="8"/>
  <c r="D67" i="8"/>
  <c r="D65" i="8"/>
  <c r="D63" i="8"/>
  <c r="D62" i="8"/>
  <c r="D61" i="8"/>
  <c r="D59" i="8"/>
  <c r="D60" i="8" s="1"/>
  <c r="D57" i="8"/>
  <c r="D55" i="8"/>
  <c r="D50" i="8"/>
  <c r="D48" i="8"/>
  <c r="D47" i="8"/>
  <c r="D46" i="8"/>
  <c r="D49" i="8" s="1"/>
  <c r="C68" i="8"/>
  <c r="C67" i="8"/>
  <c r="C65" i="8"/>
  <c r="C63" i="8"/>
  <c r="C62" i="8"/>
  <c r="C61" i="8"/>
  <c r="C59" i="8"/>
  <c r="C57" i="8"/>
  <c r="C58" i="8" s="1"/>
  <c r="C55" i="8"/>
  <c r="C50" i="8"/>
  <c r="C48" i="8"/>
  <c r="C46" i="8"/>
  <c r="B68" i="8"/>
  <c r="B67" i="8"/>
  <c r="B65" i="8"/>
  <c r="B63" i="8"/>
  <c r="B62" i="8"/>
  <c r="B61" i="8"/>
  <c r="B59" i="8"/>
  <c r="B64" i="8" s="1"/>
  <c r="B57" i="8"/>
  <c r="B55" i="8"/>
  <c r="B50" i="8"/>
  <c r="C47" i="8"/>
  <c r="B47" i="8"/>
  <c r="B46" i="8"/>
  <c r="I42" i="8"/>
  <c r="J42" i="8" s="1"/>
  <c r="K42" i="8" s="1"/>
  <c r="L42" i="8" s="1"/>
  <c r="M42" i="8" s="1"/>
  <c r="N42" i="8" s="1"/>
  <c r="H42" i="8"/>
  <c r="I41" i="8"/>
  <c r="H41" i="8"/>
  <c r="I40" i="8"/>
  <c r="J40" i="8" s="1"/>
  <c r="K40" i="8" s="1"/>
  <c r="L40" i="8" s="1"/>
  <c r="H40" i="8"/>
  <c r="H39" i="8" s="1"/>
  <c r="I37" i="8"/>
  <c r="J37" i="8" s="1"/>
  <c r="K37" i="8" s="1"/>
  <c r="L37" i="8" s="1"/>
  <c r="M37" i="8" s="1"/>
  <c r="N37" i="8" s="1"/>
  <c r="I36" i="8"/>
  <c r="J36" i="8" s="1"/>
  <c r="K36" i="8" s="1"/>
  <c r="L36" i="8" s="1"/>
  <c r="M36" i="8" s="1"/>
  <c r="N36" i="8" s="1"/>
  <c r="H36" i="8"/>
  <c r="I35" i="8"/>
  <c r="J35" i="8" s="1"/>
  <c r="K35" i="8" s="1"/>
  <c r="L35" i="8" s="1"/>
  <c r="M35" i="8" s="1"/>
  <c r="N35" i="8" s="1"/>
  <c r="H35" i="8"/>
  <c r="I34" i="8"/>
  <c r="J34" i="8" s="1"/>
  <c r="K34" i="8" s="1"/>
  <c r="L34" i="8" s="1"/>
  <c r="M34" i="8" s="1"/>
  <c r="N34" i="8" s="1"/>
  <c r="H34" i="8"/>
  <c r="I33" i="8"/>
  <c r="J33" i="8" s="1"/>
  <c r="H33" i="8"/>
  <c r="I30" i="8"/>
  <c r="J30" i="8" s="1"/>
  <c r="K30" i="8" s="1"/>
  <c r="L30" i="8" s="1"/>
  <c r="M30" i="8" s="1"/>
  <c r="N30" i="8" s="1"/>
  <c r="H30" i="8"/>
  <c r="I29" i="8"/>
  <c r="J29" i="8" s="1"/>
  <c r="K29" i="8" s="1"/>
  <c r="L29" i="8" s="1"/>
  <c r="M29" i="8" s="1"/>
  <c r="N29" i="8" s="1"/>
  <c r="H29" i="8"/>
  <c r="I28" i="8"/>
  <c r="J28" i="8" s="1"/>
  <c r="K28" i="8" s="1"/>
  <c r="L28" i="8" s="1"/>
  <c r="M28" i="8" s="1"/>
  <c r="N28" i="8" s="1"/>
  <c r="H28" i="8"/>
  <c r="I27" i="8"/>
  <c r="J27" i="8" s="1"/>
  <c r="K27" i="8" s="1"/>
  <c r="L27" i="8" s="1"/>
  <c r="M27" i="8" s="1"/>
  <c r="N27" i="8" s="1"/>
  <c r="H27" i="8"/>
  <c r="I26" i="8"/>
  <c r="J26" i="8" s="1"/>
  <c r="K26" i="8" s="1"/>
  <c r="L26" i="8" s="1"/>
  <c r="M26" i="8" s="1"/>
  <c r="H26" i="8"/>
  <c r="I25" i="8"/>
  <c r="J25" i="8" s="1"/>
  <c r="K25" i="8" s="1"/>
  <c r="L25" i="8" s="1"/>
  <c r="M25" i="8" s="1"/>
  <c r="N25" i="8" s="1"/>
  <c r="H25" i="8"/>
  <c r="I23" i="8"/>
  <c r="H23" i="8"/>
  <c r="I51" i="8" s="1"/>
  <c r="I22" i="8"/>
  <c r="J22" i="8" s="1"/>
  <c r="K22" i="8" s="1"/>
  <c r="H22" i="8"/>
  <c r="I21" i="8"/>
  <c r="H21" i="8"/>
  <c r="G42" i="8"/>
  <c r="G41" i="8"/>
  <c r="G40" i="8"/>
  <c r="G39" i="8" s="1"/>
  <c r="G37" i="8"/>
  <c r="G36" i="8"/>
  <c r="G35" i="8"/>
  <c r="G34" i="8"/>
  <c r="G33" i="8"/>
  <c r="G30" i="8"/>
  <c r="G29" i="8"/>
  <c r="G28" i="8"/>
  <c r="G27" i="8"/>
  <c r="G26" i="8"/>
  <c r="G25" i="8"/>
  <c r="G24" i="8"/>
  <c r="G23" i="8"/>
  <c r="G22" i="8"/>
  <c r="G21" i="8"/>
  <c r="F42" i="8"/>
  <c r="F41" i="8"/>
  <c r="F40" i="8"/>
  <c r="F37" i="8"/>
  <c r="F36" i="8"/>
  <c r="F35" i="8"/>
  <c r="F34" i="8"/>
  <c r="F33" i="8"/>
  <c r="F30" i="8"/>
  <c r="F29" i="8"/>
  <c r="F28" i="8"/>
  <c r="F27" i="8"/>
  <c r="F26" i="8"/>
  <c r="F25" i="8"/>
  <c r="F23" i="8"/>
  <c r="F22" i="8"/>
  <c r="F21" i="8"/>
  <c r="E42" i="8"/>
  <c r="E41" i="8"/>
  <c r="E40" i="8"/>
  <c r="E39" i="8" s="1"/>
  <c r="E37" i="8"/>
  <c r="E36" i="8"/>
  <c r="E35" i="8"/>
  <c r="E34" i="8"/>
  <c r="E33" i="8"/>
  <c r="E30" i="8"/>
  <c r="E29" i="8"/>
  <c r="E28" i="8"/>
  <c r="E27" i="8"/>
  <c r="E26" i="8"/>
  <c r="E25" i="8"/>
  <c r="E23" i="8"/>
  <c r="F51" i="8" s="1"/>
  <c r="E22" i="8"/>
  <c r="E21" i="8"/>
  <c r="D42" i="8"/>
  <c r="D41" i="8"/>
  <c r="D40" i="8"/>
  <c r="D37" i="8"/>
  <c r="D36" i="8"/>
  <c r="D35" i="8"/>
  <c r="D34" i="8"/>
  <c r="D33" i="8"/>
  <c r="D30" i="8"/>
  <c r="D29" i="8"/>
  <c r="D28" i="8"/>
  <c r="D27" i="8"/>
  <c r="D26" i="8"/>
  <c r="D25" i="8"/>
  <c r="D23" i="8"/>
  <c r="D22" i="8"/>
  <c r="D21" i="8"/>
  <c r="C42" i="8"/>
  <c r="C41" i="8"/>
  <c r="C40" i="8"/>
  <c r="C39" i="8" s="1"/>
  <c r="C37" i="8"/>
  <c r="C36" i="8"/>
  <c r="C35" i="8"/>
  <c r="C34" i="8"/>
  <c r="C33" i="8"/>
  <c r="C30" i="8"/>
  <c r="C29" i="8"/>
  <c r="C28" i="8"/>
  <c r="C27" i="8"/>
  <c r="C26" i="8"/>
  <c r="C25" i="8"/>
  <c r="D24" i="8"/>
  <c r="C23" i="8"/>
  <c r="C24" i="8" s="1"/>
  <c r="C22" i="8"/>
  <c r="C21" i="8"/>
  <c r="B42" i="8"/>
  <c r="B41" i="8"/>
  <c r="B40" i="8"/>
  <c r="B37" i="8"/>
  <c r="B36" i="8"/>
  <c r="B35" i="8"/>
  <c r="B34" i="8"/>
  <c r="B33" i="8"/>
  <c r="B29" i="8"/>
  <c r="B28" i="8"/>
  <c r="B27" i="8"/>
  <c r="B26" i="8"/>
  <c r="B25" i="8"/>
  <c r="I16" i="8"/>
  <c r="I15" i="8"/>
  <c r="J15" i="8" s="1"/>
  <c r="K15" i="8" s="1"/>
  <c r="L15" i="8" s="1"/>
  <c r="M15" i="8" s="1"/>
  <c r="N15" i="8" s="1"/>
  <c r="I14" i="8"/>
  <c r="I12" i="8"/>
  <c r="I11" i="8"/>
  <c r="I10" i="8"/>
  <c r="I9" i="8"/>
  <c r="I7" i="8"/>
  <c r="I8" i="8" s="1"/>
  <c r="I6" i="8"/>
  <c r="I5" i="8"/>
  <c r="I3" i="8"/>
  <c r="I24" i="8" s="1"/>
  <c r="H16" i="8"/>
  <c r="H15" i="8"/>
  <c r="H14" i="8"/>
  <c r="H12" i="8"/>
  <c r="H11" i="8"/>
  <c r="H10" i="8"/>
  <c r="H9" i="8"/>
  <c r="H7" i="8"/>
  <c r="H8" i="8" s="1"/>
  <c r="H6" i="8"/>
  <c r="H5" i="8"/>
  <c r="H3" i="8"/>
  <c r="G16" i="8"/>
  <c r="G11" i="8"/>
  <c r="F11" i="8"/>
  <c r="F16" i="8"/>
  <c r="F15" i="8"/>
  <c r="F14" i="8"/>
  <c r="G12" i="8"/>
  <c r="G13" i="8" s="1"/>
  <c r="G14" i="8"/>
  <c r="G15" i="8"/>
  <c r="G10" i="8"/>
  <c r="G9" i="8"/>
  <c r="G7" i="8"/>
  <c r="G6" i="8"/>
  <c r="G5" i="8"/>
  <c r="G3" i="8"/>
  <c r="F10" i="8"/>
  <c r="F9" i="8"/>
  <c r="F7" i="8"/>
  <c r="F6" i="8"/>
  <c r="F5" i="8"/>
  <c r="F3" i="8"/>
  <c r="E16" i="8"/>
  <c r="E19" i="8" s="1"/>
  <c r="E14" i="8"/>
  <c r="E15" i="8"/>
  <c r="E12" i="8"/>
  <c r="E11" i="8"/>
  <c r="E13" i="8" s="1"/>
  <c r="E10" i="8"/>
  <c r="E9" i="8"/>
  <c r="E7" i="8"/>
  <c r="E6" i="8"/>
  <c r="E5" i="8"/>
  <c r="E3" i="8"/>
  <c r="D16" i="8"/>
  <c r="D15" i="8"/>
  <c r="D14" i="8"/>
  <c r="D12" i="8"/>
  <c r="D11" i="8"/>
  <c r="D10" i="8"/>
  <c r="D9" i="8"/>
  <c r="D7" i="8"/>
  <c r="D8" i="8" s="1"/>
  <c r="D6" i="8"/>
  <c r="D5" i="8"/>
  <c r="D3" i="8"/>
  <c r="D4" i="8" s="1"/>
  <c r="C16" i="8"/>
  <c r="C15" i="8"/>
  <c r="C14" i="8"/>
  <c r="C12" i="8"/>
  <c r="C13" i="8" s="1"/>
  <c r="C11" i="8"/>
  <c r="C10" i="8"/>
  <c r="C9" i="8"/>
  <c r="C7" i="8"/>
  <c r="C6" i="8"/>
  <c r="C5" i="8"/>
  <c r="C3" i="8"/>
  <c r="C4" i="8" s="1"/>
  <c r="B22" i="8"/>
  <c r="B21" i="8"/>
  <c r="H1" i="8"/>
  <c r="G1" i="8" s="1"/>
  <c r="F1" i="8" s="1"/>
  <c r="E1" i="8" s="1"/>
  <c r="D1" i="8" s="1"/>
  <c r="C1" i="8" s="1"/>
  <c r="B1" i="8" s="1"/>
  <c r="J1" i="8"/>
  <c r="K1" i="8" s="1"/>
  <c r="L1" i="8" s="1"/>
  <c r="M1" i="8" s="1"/>
  <c r="N1" i="8" s="1"/>
  <c r="B3" i="8"/>
  <c r="B4" i="8"/>
  <c r="B5" i="8"/>
  <c r="B6" i="8"/>
  <c r="B7" i="8"/>
  <c r="B8" i="8"/>
  <c r="B9" i="8"/>
  <c r="B10" i="8"/>
  <c r="B11" i="8"/>
  <c r="B12" i="8"/>
  <c r="B14" i="8"/>
  <c r="B15" i="8"/>
  <c r="B16" i="8"/>
  <c r="F8" i="8" l="1"/>
  <c r="H13" i="8"/>
  <c r="H58" i="8"/>
  <c r="E8" i="8"/>
  <c r="F24" i="8"/>
  <c r="F39" i="8"/>
  <c r="D39" i="8"/>
  <c r="C60" i="8"/>
  <c r="D58" i="8"/>
  <c r="G49" i="8"/>
  <c r="G52" i="8" s="1"/>
  <c r="I49" i="8"/>
  <c r="I53" i="8" s="1"/>
  <c r="I54" i="8" s="1"/>
  <c r="I66" i="8" s="1"/>
  <c r="L51" i="8"/>
  <c r="D64" i="8"/>
  <c r="E60" i="8"/>
  <c r="F13" i="8"/>
  <c r="H4" i="8"/>
  <c r="H43" i="8"/>
  <c r="F64" i="8"/>
  <c r="B19" i="8"/>
  <c r="F58" i="8"/>
  <c r="E24" i="8"/>
  <c r="G58" i="8"/>
  <c r="F43" i="8"/>
  <c r="I13" i="8"/>
  <c r="C64" i="8"/>
  <c r="H64" i="8"/>
  <c r="I31" i="8"/>
  <c r="B49" i="8"/>
  <c r="F60" i="8"/>
  <c r="G60" i="8"/>
  <c r="C8" i="8"/>
  <c r="G4" i="8"/>
  <c r="E51" i="8"/>
  <c r="B58" i="8"/>
  <c r="K51" i="8"/>
  <c r="H19" i="8"/>
  <c r="C51" i="8"/>
  <c r="B39" i="8"/>
  <c r="B43" i="8" s="1"/>
  <c r="C19" i="8"/>
  <c r="I18" i="8"/>
  <c r="I64" i="8"/>
  <c r="H24" i="8"/>
  <c r="E49" i="8"/>
  <c r="D19" i="8"/>
  <c r="H18" i="8"/>
  <c r="B13" i="8"/>
  <c r="D43" i="8"/>
  <c r="I52" i="8"/>
  <c r="I19" i="8"/>
  <c r="C49" i="8"/>
  <c r="C53" i="8" s="1"/>
  <c r="E64" i="8"/>
  <c r="D13" i="8"/>
  <c r="G8" i="8"/>
  <c r="C43" i="8"/>
  <c r="I39" i="8"/>
  <c r="I43" i="8" s="1"/>
  <c r="I58" i="8"/>
  <c r="F19" i="8"/>
  <c r="J51" i="8"/>
  <c r="J58" i="8"/>
  <c r="J10" i="8"/>
  <c r="J11" i="8" s="1"/>
  <c r="J12" i="8" s="1"/>
  <c r="G43" i="8"/>
  <c r="E43" i="8"/>
  <c r="E4" i="8"/>
  <c r="H60" i="8"/>
  <c r="F4" i="8"/>
  <c r="E52" i="8"/>
  <c r="D51" i="8"/>
  <c r="D52" i="8" s="1"/>
  <c r="B18" i="8"/>
  <c r="E53" i="8"/>
  <c r="E54" i="8" s="1"/>
  <c r="E66" i="8" s="1"/>
  <c r="C18" i="8"/>
  <c r="D18" i="8"/>
  <c r="I4" i="8"/>
  <c r="G31" i="8"/>
  <c r="H51" i="8"/>
  <c r="H53" i="8" s="1"/>
  <c r="H54" i="8" s="1"/>
  <c r="H66" i="8" s="1"/>
  <c r="F18" i="8"/>
  <c r="G18" i="8"/>
  <c r="G53" i="8"/>
  <c r="G54" i="8" s="1"/>
  <c r="G66" i="8" s="1"/>
  <c r="F52" i="8"/>
  <c r="D53" i="8"/>
  <c r="F53" i="8"/>
  <c r="F54" i="8" s="1"/>
  <c r="F66" i="8" s="1"/>
  <c r="K59" i="8"/>
  <c r="N26" i="8"/>
  <c r="M40" i="8"/>
  <c r="K33" i="8"/>
  <c r="L22" i="8"/>
  <c r="M22" i="8" s="1"/>
  <c r="N22" i="8" s="1"/>
  <c r="H31" i="8"/>
  <c r="F31" i="8"/>
  <c r="E31" i="8"/>
  <c r="D31" i="8"/>
  <c r="C31" i="8"/>
  <c r="B31" i="8"/>
  <c r="B52" i="8" l="1"/>
  <c r="H52" i="8"/>
  <c r="C52" i="8"/>
  <c r="C54" i="8"/>
  <c r="C66" i="8" s="1"/>
  <c r="B53" i="8"/>
  <c r="D54" i="8"/>
  <c r="D66" i="8" s="1"/>
  <c r="N4" i="8"/>
  <c r="N8" i="8"/>
  <c r="M8" i="8"/>
  <c r="M4" i="8"/>
  <c r="J4" i="8"/>
  <c r="L8" i="8"/>
  <c r="L4" i="8"/>
  <c r="K8" i="8"/>
  <c r="K4" i="8"/>
  <c r="J8" i="8"/>
  <c r="J14" i="8"/>
  <c r="J48" i="8"/>
  <c r="J49" i="8" s="1"/>
  <c r="L59" i="8"/>
  <c r="L33" i="8"/>
  <c r="N40" i="8"/>
  <c r="H1" i="6"/>
  <c r="G1" i="6" s="1"/>
  <c r="F1" i="6" s="1"/>
  <c r="E1" i="6" s="1"/>
  <c r="D1" i="6" s="1"/>
  <c r="C1" i="6" s="1"/>
  <c r="B1" i="6" s="1"/>
  <c r="J1" i="6"/>
  <c r="K1" i="6" s="1"/>
  <c r="L1" i="6" s="1"/>
  <c r="M1" i="6" s="1"/>
  <c r="N1" i="6" s="1"/>
  <c r="A20" i="6"/>
  <c r="B23" i="6"/>
  <c r="B24" i="6" s="1"/>
  <c r="C23" i="6"/>
  <c r="D23" i="6"/>
  <c r="E23" i="6"/>
  <c r="F23" i="6"/>
  <c r="G24" i="6" s="1"/>
  <c r="G26" i="6" s="1"/>
  <c r="G23" i="6"/>
  <c r="H23" i="6"/>
  <c r="I23" i="6"/>
  <c r="I24" i="6" s="1"/>
  <c r="I26" i="6" s="1"/>
  <c r="J23" i="6"/>
  <c r="J24" i="6"/>
  <c r="B25" i="6"/>
  <c r="C25" i="6"/>
  <c r="D25" i="6"/>
  <c r="E25" i="6"/>
  <c r="F25" i="6"/>
  <c r="G25" i="6"/>
  <c r="H25" i="6"/>
  <c r="I25" i="6"/>
  <c r="K25" i="6"/>
  <c r="K26" i="6"/>
  <c r="L26" i="6"/>
  <c r="M26" i="6"/>
  <c r="N26" i="6" s="1"/>
  <c r="B27" i="6"/>
  <c r="B28" i="6" s="1"/>
  <c r="B30" i="6" s="1"/>
  <c r="C27" i="6"/>
  <c r="D27" i="6"/>
  <c r="E27" i="6"/>
  <c r="E28" i="6" s="1"/>
  <c r="E30" i="6" s="1"/>
  <c r="F27" i="6"/>
  <c r="G27" i="6"/>
  <c r="G28" i="6" s="1"/>
  <c r="G30" i="6" s="1"/>
  <c r="H27" i="6"/>
  <c r="H28" i="6" s="1"/>
  <c r="H30" i="6" s="1"/>
  <c r="I27" i="6"/>
  <c r="I28" i="6" s="1"/>
  <c r="I30" i="6" s="1"/>
  <c r="J28" i="6"/>
  <c r="B29" i="6"/>
  <c r="C29" i="6"/>
  <c r="D29" i="6"/>
  <c r="E29" i="6"/>
  <c r="F29" i="6"/>
  <c r="G29" i="6"/>
  <c r="H29" i="6"/>
  <c r="I29" i="6"/>
  <c r="K29" i="6"/>
  <c r="L29" i="6"/>
  <c r="M29" i="6" s="1"/>
  <c r="K30" i="6"/>
  <c r="K28" i="6" s="1"/>
  <c r="B31" i="6"/>
  <c r="C32" i="6" s="1"/>
  <c r="C34" i="6" s="1"/>
  <c r="C31" i="6"/>
  <c r="D31" i="6"/>
  <c r="E31" i="6"/>
  <c r="E32" i="6" s="1"/>
  <c r="F31" i="6"/>
  <c r="G31" i="6"/>
  <c r="G32" i="6" s="1"/>
  <c r="H31" i="6"/>
  <c r="H32" i="6" s="1"/>
  <c r="H34" i="6" s="1"/>
  <c r="I31" i="6"/>
  <c r="B32" i="6"/>
  <c r="B34" i="6" s="1"/>
  <c r="D32" i="6"/>
  <c r="J32" i="6"/>
  <c r="B33" i="6"/>
  <c r="C33" i="6"/>
  <c r="D33" i="6"/>
  <c r="E33" i="6"/>
  <c r="F33" i="6"/>
  <c r="G33" i="6"/>
  <c r="H33" i="6"/>
  <c r="I33" i="6"/>
  <c r="K33" i="6"/>
  <c r="L33" i="6"/>
  <c r="M33" i="6" s="1"/>
  <c r="K34" i="6"/>
  <c r="K37" i="6"/>
  <c r="L37" i="6"/>
  <c r="M37" i="6"/>
  <c r="N37" i="6" s="1"/>
  <c r="B38" i="6"/>
  <c r="B41" i="6" s="1"/>
  <c r="C38" i="6"/>
  <c r="C41" i="6" s="1"/>
  <c r="D38" i="6"/>
  <c r="E38" i="6"/>
  <c r="F38" i="6"/>
  <c r="G38" i="6"/>
  <c r="H38" i="6"/>
  <c r="I38" i="6"/>
  <c r="I41" i="6" s="1"/>
  <c r="J41" i="6" s="1"/>
  <c r="B39" i="6"/>
  <c r="C39" i="6"/>
  <c r="D39" i="6"/>
  <c r="B42" i="6"/>
  <c r="B43" i="6" s="1"/>
  <c r="C42" i="6"/>
  <c r="D42" i="6"/>
  <c r="E42" i="6"/>
  <c r="E35" i="6" s="1"/>
  <c r="F42" i="6"/>
  <c r="F35" i="6" s="1"/>
  <c r="G42" i="6"/>
  <c r="H42" i="6"/>
  <c r="H35" i="6" s="1"/>
  <c r="I42" i="6"/>
  <c r="I43" i="6" s="1"/>
  <c r="F43" i="6"/>
  <c r="G43" i="6"/>
  <c r="H43" i="6"/>
  <c r="B45" i="6"/>
  <c r="B46" i="6" s="1"/>
  <c r="C45" i="6"/>
  <c r="C46" i="6" s="1"/>
  <c r="D45" i="6"/>
  <c r="E45" i="6"/>
  <c r="F45" i="6"/>
  <c r="G45" i="6"/>
  <c r="H45" i="6"/>
  <c r="H46" i="6" s="1"/>
  <c r="I45" i="6"/>
  <c r="I46" i="6" s="1"/>
  <c r="B48" i="6"/>
  <c r="C48" i="6"/>
  <c r="D48" i="6"/>
  <c r="E48" i="6"/>
  <c r="F48" i="6"/>
  <c r="G48" i="6"/>
  <c r="H48" i="6"/>
  <c r="H41" i="6" s="1"/>
  <c r="I48" i="6"/>
  <c r="I49" i="6" s="1"/>
  <c r="B49" i="6"/>
  <c r="J49" i="6"/>
  <c r="K50" i="6"/>
  <c r="K49" i="6" s="1"/>
  <c r="L50" i="6"/>
  <c r="L49" i="6" s="1"/>
  <c r="A51" i="6"/>
  <c r="C54" i="6"/>
  <c r="D54" i="6"/>
  <c r="E54" i="6"/>
  <c r="E55" i="6" s="1"/>
  <c r="E57" i="6" s="1"/>
  <c r="F54" i="6"/>
  <c r="G54" i="6"/>
  <c r="G52" i="6" s="1"/>
  <c r="H54" i="6"/>
  <c r="H52" i="6" s="1"/>
  <c r="I54" i="6"/>
  <c r="J54" i="6"/>
  <c r="I55" i="6"/>
  <c r="J55" i="6"/>
  <c r="B56" i="6"/>
  <c r="C56" i="6"/>
  <c r="D56" i="6"/>
  <c r="E56" i="6"/>
  <c r="F56" i="6"/>
  <c r="G56" i="6"/>
  <c r="H56" i="6"/>
  <c r="I56" i="6"/>
  <c r="K56" i="6"/>
  <c r="K55" i="6" s="1"/>
  <c r="L56" i="6"/>
  <c r="K57" i="6"/>
  <c r="L57" i="6" s="1"/>
  <c r="M57" i="6"/>
  <c r="N57" i="6"/>
  <c r="C58" i="6"/>
  <c r="D58" i="6"/>
  <c r="E58" i="6"/>
  <c r="E59" i="6" s="1"/>
  <c r="E61" i="6" s="1"/>
  <c r="F58" i="6"/>
  <c r="G58" i="6"/>
  <c r="H58" i="6"/>
  <c r="H59" i="6" s="1"/>
  <c r="I58" i="6"/>
  <c r="D59" i="6"/>
  <c r="F59" i="6"/>
  <c r="F61" i="6" s="1"/>
  <c r="G59" i="6"/>
  <c r="J59" i="6"/>
  <c r="B60" i="6"/>
  <c r="C60" i="6"/>
  <c r="D60" i="6"/>
  <c r="E60" i="6"/>
  <c r="F60" i="6"/>
  <c r="G60" i="6"/>
  <c r="H60" i="6"/>
  <c r="I60" i="6"/>
  <c r="K60" i="6"/>
  <c r="K61" i="6"/>
  <c r="L61" i="6"/>
  <c r="M61" i="6"/>
  <c r="N61" i="6"/>
  <c r="C62" i="6"/>
  <c r="D62" i="6"/>
  <c r="D63" i="6" s="1"/>
  <c r="E62" i="6"/>
  <c r="F62" i="6"/>
  <c r="F63" i="6" s="1"/>
  <c r="G62" i="6"/>
  <c r="H62" i="6"/>
  <c r="I62" i="6"/>
  <c r="I63" i="6" s="1"/>
  <c r="I65" i="6" s="1"/>
  <c r="J63" i="6"/>
  <c r="K63" i="6"/>
  <c r="B64" i="6"/>
  <c r="C64" i="6"/>
  <c r="D64" i="6"/>
  <c r="E64" i="6"/>
  <c r="F64" i="6"/>
  <c r="G64" i="6"/>
  <c r="H64" i="6"/>
  <c r="I64" i="6"/>
  <c r="K64" i="6"/>
  <c r="L64" i="6" s="1"/>
  <c r="M64" i="6"/>
  <c r="K65" i="6"/>
  <c r="L65" i="6"/>
  <c r="L63" i="6" s="1"/>
  <c r="M65" i="6"/>
  <c r="N65" i="6" s="1"/>
  <c r="K68" i="6"/>
  <c r="L68" i="6"/>
  <c r="M68" i="6"/>
  <c r="N68" i="6" s="1"/>
  <c r="C69" i="6"/>
  <c r="D69" i="6"/>
  <c r="E70" i="6" s="1"/>
  <c r="E69" i="6"/>
  <c r="E72" i="6" s="1"/>
  <c r="F69" i="6"/>
  <c r="F66" i="6" s="1"/>
  <c r="G69" i="6"/>
  <c r="H69" i="6"/>
  <c r="H72" i="6" s="1"/>
  <c r="I69" i="6"/>
  <c r="D70" i="6"/>
  <c r="D72" i="6"/>
  <c r="C73" i="6"/>
  <c r="C66" i="6" s="1"/>
  <c r="D73" i="6"/>
  <c r="E73" i="6"/>
  <c r="E66" i="6" s="1"/>
  <c r="F73" i="6"/>
  <c r="G73" i="6"/>
  <c r="H73" i="6"/>
  <c r="I73" i="6"/>
  <c r="I74" i="6"/>
  <c r="C76" i="6"/>
  <c r="D76" i="6"/>
  <c r="E76" i="6"/>
  <c r="F76" i="6"/>
  <c r="G76" i="6"/>
  <c r="H76" i="6"/>
  <c r="I76" i="6"/>
  <c r="I77" i="6" s="1"/>
  <c r="D79" i="6"/>
  <c r="E79" i="6"/>
  <c r="F80" i="6" s="1"/>
  <c r="F79" i="6"/>
  <c r="G79" i="6"/>
  <c r="H79" i="6"/>
  <c r="I79" i="6"/>
  <c r="E80" i="6"/>
  <c r="J80" i="6"/>
  <c r="K80" i="6"/>
  <c r="L80" i="6"/>
  <c r="K81" i="6"/>
  <c r="L81" i="6"/>
  <c r="M81" i="6"/>
  <c r="M80" i="6" s="1"/>
  <c r="A82" i="6"/>
  <c r="B85" i="6"/>
  <c r="C85" i="6"/>
  <c r="D85" i="6"/>
  <c r="E85" i="6"/>
  <c r="E86" i="6" s="1"/>
  <c r="E88" i="6" s="1"/>
  <c r="F85" i="6"/>
  <c r="G85" i="6"/>
  <c r="G86" i="6" s="1"/>
  <c r="G88" i="6" s="1"/>
  <c r="H85" i="6"/>
  <c r="H86" i="6" s="1"/>
  <c r="H88" i="6" s="1"/>
  <c r="I85" i="6"/>
  <c r="I83" i="6" s="1"/>
  <c r="D86" i="6"/>
  <c r="J86" i="6"/>
  <c r="B87" i="6"/>
  <c r="C87" i="6"/>
  <c r="D87" i="6"/>
  <c r="E87" i="6"/>
  <c r="F87" i="6"/>
  <c r="G87" i="6"/>
  <c r="H87" i="6"/>
  <c r="I87" i="6"/>
  <c r="K87" i="6"/>
  <c r="L87" i="6"/>
  <c r="M87" i="6"/>
  <c r="N87" i="6"/>
  <c r="K88" i="6"/>
  <c r="K86" i="6" s="1"/>
  <c r="B89" i="6"/>
  <c r="C90" i="6" s="1"/>
  <c r="C89" i="6"/>
  <c r="D89" i="6"/>
  <c r="D83" i="6" s="1"/>
  <c r="E89" i="6"/>
  <c r="F89" i="6"/>
  <c r="G89" i="6"/>
  <c r="H89" i="6"/>
  <c r="I90" i="6" s="1"/>
  <c r="I92" i="6" s="1"/>
  <c r="I89" i="6"/>
  <c r="B90" i="6"/>
  <c r="B92" i="6" s="1"/>
  <c r="F90" i="6"/>
  <c r="F92" i="6" s="1"/>
  <c r="H90" i="6"/>
  <c r="J90" i="6"/>
  <c r="J89" i="6" s="1"/>
  <c r="B91" i="6"/>
  <c r="C91" i="6"/>
  <c r="D91" i="6"/>
  <c r="E91" i="6"/>
  <c r="F91" i="6"/>
  <c r="G91" i="6"/>
  <c r="H91" i="6"/>
  <c r="I91" i="6"/>
  <c r="K91" i="6"/>
  <c r="L91" i="6"/>
  <c r="L90" i="6" s="1"/>
  <c r="K92" i="6"/>
  <c r="L92" i="6" s="1"/>
  <c r="M92" i="6" s="1"/>
  <c r="N92" i="6" s="1"/>
  <c r="B93" i="6"/>
  <c r="B94" i="6" s="1"/>
  <c r="B96" i="6" s="1"/>
  <c r="C93" i="6"/>
  <c r="D93" i="6"/>
  <c r="E93" i="6"/>
  <c r="F93" i="6"/>
  <c r="G93" i="6"/>
  <c r="H93" i="6"/>
  <c r="I93" i="6"/>
  <c r="J93" i="6"/>
  <c r="K93" i="6" s="1"/>
  <c r="H94" i="6"/>
  <c r="I94" i="6"/>
  <c r="I96" i="6" s="1"/>
  <c r="J94" i="6"/>
  <c r="B95" i="6"/>
  <c r="C95" i="6"/>
  <c r="D95" i="6"/>
  <c r="E95" i="6"/>
  <c r="F95" i="6"/>
  <c r="G95" i="6"/>
  <c r="H95" i="6"/>
  <c r="I95" i="6"/>
  <c r="K95" i="6"/>
  <c r="L95" i="6"/>
  <c r="M95" i="6" s="1"/>
  <c r="H96" i="6"/>
  <c r="K96" i="6"/>
  <c r="K94" i="6" s="1"/>
  <c r="H97" i="6"/>
  <c r="K99" i="6"/>
  <c r="L99" i="6" s="1"/>
  <c r="M99" i="6" s="1"/>
  <c r="N99" i="6" s="1"/>
  <c r="B100" i="6"/>
  <c r="B101" i="6" s="1"/>
  <c r="C100" i="6"/>
  <c r="D100" i="6"/>
  <c r="E100" i="6"/>
  <c r="F100" i="6"/>
  <c r="G100" i="6"/>
  <c r="H100" i="6"/>
  <c r="H101" i="6" s="1"/>
  <c r="I100" i="6"/>
  <c r="D103" i="6"/>
  <c r="B104" i="6"/>
  <c r="B97" i="6" s="1"/>
  <c r="B98" i="6" s="1"/>
  <c r="C104" i="6"/>
  <c r="D104" i="6"/>
  <c r="D97" i="6" s="1"/>
  <c r="E104" i="6"/>
  <c r="F104" i="6"/>
  <c r="G104" i="6"/>
  <c r="G105" i="6" s="1"/>
  <c r="H104" i="6"/>
  <c r="I104" i="6"/>
  <c r="I97" i="6" s="1"/>
  <c r="B105" i="6"/>
  <c r="C105" i="6"/>
  <c r="B107" i="6"/>
  <c r="B108" i="6" s="1"/>
  <c r="C107" i="6"/>
  <c r="D107" i="6"/>
  <c r="E107" i="6"/>
  <c r="E108" i="6" s="1"/>
  <c r="F107" i="6"/>
  <c r="G107" i="6"/>
  <c r="H108" i="6" s="1"/>
  <c r="H107" i="6"/>
  <c r="I107" i="6"/>
  <c r="I109" i="6" s="1"/>
  <c r="J109" i="6" s="1"/>
  <c r="K109" i="6" s="1"/>
  <c r="L109" i="6" s="1"/>
  <c r="M109" i="6" s="1"/>
  <c r="N109" i="6" s="1"/>
  <c r="F108" i="6"/>
  <c r="B110" i="6"/>
  <c r="B111" i="6" s="1"/>
  <c r="C110" i="6"/>
  <c r="C111" i="6" s="1"/>
  <c r="D110" i="6"/>
  <c r="E110" i="6"/>
  <c r="E111" i="6" s="1"/>
  <c r="F110" i="6"/>
  <c r="F111" i="6" s="1"/>
  <c r="G110" i="6"/>
  <c r="G111" i="6" s="1"/>
  <c r="H110" i="6"/>
  <c r="I110" i="6"/>
  <c r="J111" i="6"/>
  <c r="I112" i="6"/>
  <c r="K112" i="6"/>
  <c r="K111" i="6" s="1"/>
  <c r="L112" i="6"/>
  <c r="M112" i="6" s="1"/>
  <c r="N112" i="6" s="1"/>
  <c r="N111" i="6" s="1"/>
  <c r="A113" i="6"/>
  <c r="B116" i="6"/>
  <c r="B117" i="6" s="1"/>
  <c r="C116" i="6"/>
  <c r="C114" i="6" s="1"/>
  <c r="D116" i="6"/>
  <c r="E116" i="6"/>
  <c r="F116" i="6"/>
  <c r="F117" i="6" s="1"/>
  <c r="G116" i="6"/>
  <c r="H116" i="6"/>
  <c r="I116" i="6"/>
  <c r="J116" i="6" s="1"/>
  <c r="J117" i="6"/>
  <c r="K117" i="6"/>
  <c r="L117" i="6"/>
  <c r="M117" i="6"/>
  <c r="B118" i="6"/>
  <c r="C118" i="6"/>
  <c r="D118" i="6"/>
  <c r="E118" i="6"/>
  <c r="F118" i="6"/>
  <c r="G118" i="6"/>
  <c r="H118" i="6"/>
  <c r="I118" i="6"/>
  <c r="K118" i="6"/>
  <c r="L118" i="6" s="1"/>
  <c r="M118" i="6" s="1"/>
  <c r="N118" i="6" s="1"/>
  <c r="N117" i="6" s="1"/>
  <c r="K119" i="6"/>
  <c r="L119" i="6" s="1"/>
  <c r="M119" i="6" s="1"/>
  <c r="N119" i="6" s="1"/>
  <c r="B120" i="6"/>
  <c r="C120" i="6"/>
  <c r="D120" i="6"/>
  <c r="E121" i="6" s="1"/>
  <c r="E120" i="6"/>
  <c r="F120" i="6"/>
  <c r="G120" i="6"/>
  <c r="H120" i="6"/>
  <c r="I120" i="6"/>
  <c r="J120" i="6" s="1"/>
  <c r="B121" i="6"/>
  <c r="C121" i="6"/>
  <c r="D121" i="6"/>
  <c r="D123" i="6" s="1"/>
  <c r="J121" i="6"/>
  <c r="B122" i="6"/>
  <c r="C122" i="6"/>
  <c r="D122" i="6"/>
  <c r="E122" i="6"/>
  <c r="F122" i="6"/>
  <c r="G122" i="6"/>
  <c r="H122" i="6"/>
  <c r="I122" i="6"/>
  <c r="K122" i="6"/>
  <c r="L122" i="6"/>
  <c r="M122" i="6"/>
  <c r="N122" i="6"/>
  <c r="K123" i="6"/>
  <c r="B124" i="6"/>
  <c r="C125" i="6" s="1"/>
  <c r="C127" i="6" s="1"/>
  <c r="C124" i="6"/>
  <c r="D124" i="6"/>
  <c r="D125" i="6" s="1"/>
  <c r="D127" i="6" s="1"/>
  <c r="E124" i="6"/>
  <c r="F124" i="6"/>
  <c r="G124" i="6"/>
  <c r="H125" i="6" s="1"/>
  <c r="H127" i="6" s="1"/>
  <c r="H124" i="6"/>
  <c r="I125" i="6" s="1"/>
  <c r="I127" i="6" s="1"/>
  <c r="I124" i="6"/>
  <c r="J124" i="6" s="1"/>
  <c r="B125" i="6"/>
  <c r="J125" i="6"/>
  <c r="B126" i="6"/>
  <c r="C126" i="6"/>
  <c r="D126" i="6"/>
  <c r="E126" i="6"/>
  <c r="F126" i="6"/>
  <c r="G126" i="6"/>
  <c r="H126" i="6"/>
  <c r="I126" i="6"/>
  <c r="K126" i="6"/>
  <c r="L126" i="6"/>
  <c r="M126" i="6"/>
  <c r="N126" i="6"/>
  <c r="K127" i="6"/>
  <c r="L127" i="6" s="1"/>
  <c r="M127" i="6" s="1"/>
  <c r="N127" i="6" s="1"/>
  <c r="E128" i="6"/>
  <c r="K130" i="6"/>
  <c r="L130" i="6" s="1"/>
  <c r="M130" i="6" s="1"/>
  <c r="N130" i="6" s="1"/>
  <c r="B131" i="6"/>
  <c r="B128" i="6" s="1"/>
  <c r="B129" i="6" s="1"/>
  <c r="C131" i="6"/>
  <c r="D131" i="6"/>
  <c r="E131" i="6"/>
  <c r="F131" i="6"/>
  <c r="F128" i="6" s="1"/>
  <c r="F129" i="6" s="1"/>
  <c r="G131" i="6"/>
  <c r="H131" i="6"/>
  <c r="I131" i="6"/>
  <c r="I134" i="6" s="1"/>
  <c r="J134" i="6" s="1"/>
  <c r="B132" i="6"/>
  <c r="C132" i="6"/>
  <c r="B134" i="6"/>
  <c r="B135" i="6"/>
  <c r="C135" i="6"/>
  <c r="C128" i="6" s="1"/>
  <c r="D135" i="6"/>
  <c r="E135" i="6"/>
  <c r="F135" i="6"/>
  <c r="F136" i="6" s="1"/>
  <c r="G135" i="6"/>
  <c r="H135" i="6"/>
  <c r="H136" i="6" s="1"/>
  <c r="I135" i="6"/>
  <c r="G136" i="6"/>
  <c r="C137" i="6"/>
  <c r="B138" i="6"/>
  <c r="C138" i="6"/>
  <c r="D138" i="6"/>
  <c r="E138" i="6"/>
  <c r="F138" i="6"/>
  <c r="G138" i="6"/>
  <c r="G139" i="6" s="1"/>
  <c r="H138" i="6"/>
  <c r="I138" i="6"/>
  <c r="I139" i="6"/>
  <c r="B141" i="6"/>
  <c r="C141" i="6"/>
  <c r="D141" i="6"/>
  <c r="E141" i="6"/>
  <c r="F141" i="6"/>
  <c r="F134" i="6" s="1"/>
  <c r="G141" i="6"/>
  <c r="H141" i="6"/>
  <c r="H142" i="6" s="1"/>
  <c r="I141" i="6"/>
  <c r="I142" i="6" s="1"/>
  <c r="B142" i="6"/>
  <c r="J142" i="6"/>
  <c r="K142" i="6"/>
  <c r="K143" i="6"/>
  <c r="L143" i="6"/>
  <c r="A144" i="6"/>
  <c r="B145" i="6"/>
  <c r="C146" i="6" s="1"/>
  <c r="C145" i="6"/>
  <c r="C162" i="6" s="1"/>
  <c r="D145" i="6"/>
  <c r="E145" i="6"/>
  <c r="E146" i="6" s="1"/>
  <c r="F145" i="6"/>
  <c r="F159" i="6" s="1"/>
  <c r="G145" i="6"/>
  <c r="H145" i="6"/>
  <c r="I145" i="6"/>
  <c r="J145" i="6" s="1"/>
  <c r="J157" i="6" s="1"/>
  <c r="B146" i="6"/>
  <c r="B150" i="6"/>
  <c r="C150" i="6"/>
  <c r="C152" i="6" s="1"/>
  <c r="D150" i="6"/>
  <c r="D152" i="6" s="1"/>
  <c r="E150" i="6"/>
  <c r="F150" i="6"/>
  <c r="F152" i="6" s="1"/>
  <c r="G150" i="6"/>
  <c r="G147" i="6" s="1"/>
  <c r="H150" i="6"/>
  <c r="I150" i="6"/>
  <c r="E151" i="6"/>
  <c r="E152" i="6"/>
  <c r="G152" i="6"/>
  <c r="B154" i="6"/>
  <c r="B155" i="6" s="1"/>
  <c r="C154" i="6"/>
  <c r="C147" i="6" s="1"/>
  <c r="C149" i="6" s="1"/>
  <c r="D154" i="6"/>
  <c r="D155" i="6" s="1"/>
  <c r="E154" i="6"/>
  <c r="F154" i="6"/>
  <c r="F156" i="6" s="1"/>
  <c r="G154" i="6"/>
  <c r="H154" i="6"/>
  <c r="I154" i="6"/>
  <c r="I156" i="6" s="1"/>
  <c r="C155" i="6"/>
  <c r="C156" i="6"/>
  <c r="G156" i="6"/>
  <c r="H156" i="6"/>
  <c r="B157" i="6"/>
  <c r="C157" i="6"/>
  <c r="C159" i="6" s="1"/>
  <c r="D157" i="6"/>
  <c r="E157" i="6"/>
  <c r="E158" i="6" s="1"/>
  <c r="F157" i="6"/>
  <c r="G157" i="6"/>
  <c r="G159" i="6" s="1"/>
  <c r="H157" i="6"/>
  <c r="H158" i="6" s="1"/>
  <c r="I157" i="6"/>
  <c r="G158" i="6"/>
  <c r="D159" i="6"/>
  <c r="I159" i="6"/>
  <c r="J159" i="6" s="1"/>
  <c r="K159" i="6" s="1"/>
  <c r="L159" i="6" s="1"/>
  <c r="M159" i="6" s="1"/>
  <c r="N159" i="6" s="1"/>
  <c r="B160" i="6"/>
  <c r="C161" i="6" s="1"/>
  <c r="C160" i="6"/>
  <c r="D160" i="6"/>
  <c r="D161" i="6" s="1"/>
  <c r="E160" i="6"/>
  <c r="F160" i="6"/>
  <c r="F161" i="6" s="1"/>
  <c r="G160" i="6"/>
  <c r="H160" i="6"/>
  <c r="I160" i="6"/>
  <c r="I153" i="6" s="1"/>
  <c r="J153" i="6" s="1"/>
  <c r="B161" i="6"/>
  <c r="B162" i="6"/>
  <c r="I162" i="6"/>
  <c r="J162" i="6" s="1"/>
  <c r="B165" i="6"/>
  <c r="H166" i="6"/>
  <c r="I166" i="6"/>
  <c r="I167" i="6" s="1"/>
  <c r="I169" i="6" s="1"/>
  <c r="J167" i="6"/>
  <c r="B168" i="6"/>
  <c r="C168" i="6"/>
  <c r="D168" i="6"/>
  <c r="E168" i="6"/>
  <c r="F168" i="6"/>
  <c r="G168" i="6"/>
  <c r="H168" i="6"/>
  <c r="I168" i="6"/>
  <c r="K168" i="6"/>
  <c r="L168" i="6"/>
  <c r="K169" i="6"/>
  <c r="K167" i="6" s="1"/>
  <c r="H170" i="6"/>
  <c r="I170" i="6"/>
  <c r="J170" i="6" s="1"/>
  <c r="K170" i="6" s="1"/>
  <c r="J171" i="6"/>
  <c r="K171" i="6"/>
  <c r="B172" i="6"/>
  <c r="C172" i="6"/>
  <c r="D172" i="6"/>
  <c r="E172" i="6"/>
  <c r="F172" i="6"/>
  <c r="G172" i="6"/>
  <c r="H172" i="6"/>
  <c r="I172" i="6"/>
  <c r="K172" i="6"/>
  <c r="L172" i="6"/>
  <c r="M172" i="6"/>
  <c r="N172" i="6" s="1"/>
  <c r="K173" i="6"/>
  <c r="L173" i="6"/>
  <c r="L171" i="6" s="1"/>
  <c r="H174" i="6"/>
  <c r="I174" i="6"/>
  <c r="J174" i="6" s="1"/>
  <c r="B175" i="6"/>
  <c r="J175" i="6"/>
  <c r="B176" i="6"/>
  <c r="C176" i="6"/>
  <c r="D176" i="6"/>
  <c r="E176" i="6"/>
  <c r="F176" i="6"/>
  <c r="G176" i="6"/>
  <c r="H176" i="6"/>
  <c r="I176" i="6"/>
  <c r="K176" i="6"/>
  <c r="L176" i="6"/>
  <c r="M176" i="6" s="1"/>
  <c r="K177" i="6"/>
  <c r="K175" i="6" s="1"/>
  <c r="L177" i="6"/>
  <c r="L175" i="6" s="1"/>
  <c r="M177" i="6"/>
  <c r="N177" i="6" s="1"/>
  <c r="B178" i="6"/>
  <c r="C178" i="6"/>
  <c r="C179" i="6" s="1"/>
  <c r="C181" i="6" s="1"/>
  <c r="D178" i="6"/>
  <c r="D179" i="6" s="1"/>
  <c r="D181" i="6" s="1"/>
  <c r="E178" i="6"/>
  <c r="F178" i="6"/>
  <c r="G178" i="6"/>
  <c r="G179" i="6" s="1"/>
  <c r="G181" i="6" s="1"/>
  <c r="H178" i="6"/>
  <c r="I178" i="6"/>
  <c r="J178" i="6" s="1"/>
  <c r="K178" i="6" s="1"/>
  <c r="K180" i="6"/>
  <c r="L180" i="6"/>
  <c r="M180" i="6" s="1"/>
  <c r="B181" i="6"/>
  <c r="K181" i="6"/>
  <c r="K179" i="6" s="1"/>
  <c r="L181" i="6"/>
  <c r="L179" i="6" s="1"/>
  <c r="M181" i="6"/>
  <c r="N181" i="6" s="1"/>
  <c r="H182" i="6"/>
  <c r="K184" i="6"/>
  <c r="L184" i="6"/>
  <c r="M184" i="6"/>
  <c r="N184" i="6"/>
  <c r="B185" i="6"/>
  <c r="C185" i="6"/>
  <c r="D186" i="6" s="1"/>
  <c r="D185" i="6"/>
  <c r="E185" i="6"/>
  <c r="E188" i="6" s="1"/>
  <c r="F185" i="6"/>
  <c r="F186" i="6" s="1"/>
  <c r="G185" i="6"/>
  <c r="H185" i="6"/>
  <c r="I185" i="6"/>
  <c r="E186" i="6"/>
  <c r="B189" i="6"/>
  <c r="B182" i="6" s="1"/>
  <c r="C189" i="6"/>
  <c r="D189" i="6"/>
  <c r="E189" i="6"/>
  <c r="F189" i="6"/>
  <c r="G189" i="6"/>
  <c r="H190" i="6" s="1"/>
  <c r="H189" i="6"/>
  <c r="I189" i="6"/>
  <c r="B190" i="6"/>
  <c r="B192" i="6"/>
  <c r="C192" i="6"/>
  <c r="D192" i="6"/>
  <c r="E192" i="6"/>
  <c r="E193" i="6" s="1"/>
  <c r="F192" i="6"/>
  <c r="G192" i="6"/>
  <c r="H192" i="6"/>
  <c r="I192" i="6"/>
  <c r="I193" i="6" s="1"/>
  <c r="B193" i="6"/>
  <c r="C193" i="6"/>
  <c r="B195" i="6"/>
  <c r="C195" i="6"/>
  <c r="D196" i="6" s="1"/>
  <c r="D195" i="6"/>
  <c r="D188" i="6" s="1"/>
  <c r="E195" i="6"/>
  <c r="F195" i="6"/>
  <c r="F188" i="6" s="1"/>
  <c r="G195" i="6"/>
  <c r="H195" i="6"/>
  <c r="I195" i="6"/>
  <c r="B196" i="6"/>
  <c r="C196" i="6"/>
  <c r="J196" i="6"/>
  <c r="K196" i="6"/>
  <c r="K197" i="6"/>
  <c r="L197" i="6"/>
  <c r="L196" i="6" s="1"/>
  <c r="M197" i="6"/>
  <c r="M196" i="6" s="1"/>
  <c r="N197" i="6"/>
  <c r="N196" i="6" s="1"/>
  <c r="B199" i="6"/>
  <c r="B210" i="6" s="1"/>
  <c r="C199" i="6"/>
  <c r="D199" i="6"/>
  <c r="E199" i="6"/>
  <c r="E200" i="6" s="1"/>
  <c r="F199" i="6"/>
  <c r="G199" i="6"/>
  <c r="G200" i="6" s="1"/>
  <c r="H199" i="6"/>
  <c r="I199" i="6"/>
  <c r="I210" i="6" s="1"/>
  <c r="J199" i="6"/>
  <c r="K199" i="6" s="1"/>
  <c r="D200" i="6"/>
  <c r="F200" i="6"/>
  <c r="B204" i="6"/>
  <c r="B206" i="6" s="1"/>
  <c r="C204" i="6"/>
  <c r="D205" i="6" s="1"/>
  <c r="D204" i="6"/>
  <c r="E204" i="6"/>
  <c r="E206" i="6" s="1"/>
  <c r="F204" i="6"/>
  <c r="G204" i="6"/>
  <c r="G207" i="6" s="1"/>
  <c r="H204" i="6"/>
  <c r="H206" i="6" s="1"/>
  <c r="I204" i="6"/>
  <c r="I206" i="6" s="1"/>
  <c r="B205" i="6"/>
  <c r="E205" i="6"/>
  <c r="C206" i="6"/>
  <c r="D206" i="6"/>
  <c r="F206" i="6"/>
  <c r="G206" i="6"/>
  <c r="B208" i="6"/>
  <c r="C208" i="6"/>
  <c r="C201" i="6" s="1"/>
  <c r="C203" i="6" s="1"/>
  <c r="D208" i="6"/>
  <c r="D210" i="6" s="1"/>
  <c r="E208" i="6"/>
  <c r="F208" i="6"/>
  <c r="G208" i="6"/>
  <c r="G209" i="6" s="1"/>
  <c r="H208" i="6"/>
  <c r="I209" i="6" s="1"/>
  <c r="I208" i="6"/>
  <c r="H209" i="6"/>
  <c r="D211" i="6"/>
  <c r="D213" i="6" s="1"/>
  <c r="B214" i="6"/>
  <c r="C214" i="6"/>
  <c r="C207" i="6" s="1"/>
  <c r="D214" i="6"/>
  <c r="E214" i="6"/>
  <c r="E215" i="6" s="1"/>
  <c r="F214" i="6"/>
  <c r="F215" i="6" s="1"/>
  <c r="G214" i="6"/>
  <c r="H214" i="6"/>
  <c r="H216" i="6" s="1"/>
  <c r="I214" i="6"/>
  <c r="I216" i="6" s="1"/>
  <c r="J216" i="6" s="1"/>
  <c r="B215" i="6"/>
  <c r="C215" i="6"/>
  <c r="C216" i="6"/>
  <c r="D216" i="6"/>
  <c r="H1" i="5"/>
  <c r="G1" i="5" s="1"/>
  <c r="F1" i="5" s="1"/>
  <c r="E1" i="5" s="1"/>
  <c r="D1" i="5" s="1"/>
  <c r="C1" i="5" s="1"/>
  <c r="B1" i="5" s="1"/>
  <c r="B4" i="5"/>
  <c r="C4" i="5"/>
  <c r="D4" i="5"/>
  <c r="E4" i="5"/>
  <c r="E10" i="5" s="1"/>
  <c r="E12" i="5" s="1"/>
  <c r="E20" i="5" s="1"/>
  <c r="F4" i="5"/>
  <c r="F10" i="5" s="1"/>
  <c r="F12" i="5" s="1"/>
  <c r="F20" i="5" s="1"/>
  <c r="G4" i="5"/>
  <c r="H4" i="5"/>
  <c r="I4" i="5"/>
  <c r="I10" i="5" s="1"/>
  <c r="I12" i="5" s="1"/>
  <c r="B7" i="5"/>
  <c r="C7" i="5"/>
  <c r="D7" i="5"/>
  <c r="D10" i="5" s="1"/>
  <c r="E7" i="5"/>
  <c r="F7" i="5"/>
  <c r="G7" i="5"/>
  <c r="H7" i="5"/>
  <c r="I7" i="5"/>
  <c r="B10" i="5"/>
  <c r="B12" i="5" s="1"/>
  <c r="B20" i="5" s="1"/>
  <c r="C10" i="5"/>
  <c r="G10" i="5"/>
  <c r="G12" i="5" s="1"/>
  <c r="G20" i="5" s="1"/>
  <c r="C12" i="5"/>
  <c r="C20" i="5" s="1"/>
  <c r="B30" i="5"/>
  <c r="C30" i="5"/>
  <c r="D30" i="5"/>
  <c r="E30" i="5"/>
  <c r="F30" i="5"/>
  <c r="G30" i="5"/>
  <c r="H30" i="5"/>
  <c r="I30" i="5"/>
  <c r="B36" i="5"/>
  <c r="C36" i="5"/>
  <c r="D36" i="5"/>
  <c r="E36" i="5"/>
  <c r="F36" i="5"/>
  <c r="G36" i="5"/>
  <c r="H36" i="5"/>
  <c r="I36" i="5"/>
  <c r="B45" i="5"/>
  <c r="C45" i="5"/>
  <c r="D45" i="5"/>
  <c r="E45" i="5"/>
  <c r="F45" i="5"/>
  <c r="G45" i="5"/>
  <c r="G59" i="5" s="1"/>
  <c r="G60" i="5" s="1"/>
  <c r="H45" i="5"/>
  <c r="I45" i="5"/>
  <c r="I59" i="5" s="1"/>
  <c r="I60" i="5" s="1"/>
  <c r="B58" i="5"/>
  <c r="C58" i="5"/>
  <c r="D58" i="5"/>
  <c r="D59" i="5" s="1"/>
  <c r="D60" i="5" s="1"/>
  <c r="E58" i="5"/>
  <c r="F58" i="5"/>
  <c r="G58" i="5"/>
  <c r="H58" i="5"/>
  <c r="I58" i="5"/>
  <c r="B59" i="5"/>
  <c r="C59" i="5"/>
  <c r="C60" i="5" s="1"/>
  <c r="E59" i="5"/>
  <c r="E60" i="5" s="1"/>
  <c r="F59" i="5"/>
  <c r="H59" i="5"/>
  <c r="H60" i="5" s="1"/>
  <c r="B60" i="5"/>
  <c r="F60" i="5"/>
  <c r="B76" i="5"/>
  <c r="C76" i="5"/>
  <c r="D76" i="5"/>
  <c r="E76" i="5"/>
  <c r="E98" i="5" s="1"/>
  <c r="F76" i="5"/>
  <c r="F98" i="5" s="1"/>
  <c r="G76" i="5"/>
  <c r="B85" i="5"/>
  <c r="C85" i="5"/>
  <c r="D85" i="5"/>
  <c r="E85" i="5"/>
  <c r="F85" i="5"/>
  <c r="G85" i="5"/>
  <c r="H85" i="5"/>
  <c r="I85" i="5"/>
  <c r="B96" i="5"/>
  <c r="B98" i="5" s="1"/>
  <c r="C96" i="5"/>
  <c r="C98" i="5" s="1"/>
  <c r="D96" i="5"/>
  <c r="D98" i="5" s="1"/>
  <c r="E96" i="5"/>
  <c r="F96" i="5"/>
  <c r="G96" i="5"/>
  <c r="H96" i="5"/>
  <c r="I96" i="5"/>
  <c r="G98" i="5"/>
  <c r="B101" i="5"/>
  <c r="C101" i="5"/>
  <c r="D101" i="5"/>
  <c r="E101" i="5"/>
  <c r="F101" i="5"/>
  <c r="G101" i="5"/>
  <c r="H111" i="5"/>
  <c r="I111" i="5"/>
  <c r="I128" i="5" s="1"/>
  <c r="I135" i="5" s="1"/>
  <c r="H115" i="5"/>
  <c r="I115" i="5"/>
  <c r="B116" i="5"/>
  <c r="B130" i="5" s="1"/>
  <c r="K128" i="5" s="1"/>
  <c r="B117" i="5"/>
  <c r="B58" i="6" s="1"/>
  <c r="B118" i="5"/>
  <c r="B62" i="6" s="1"/>
  <c r="H119" i="5"/>
  <c r="I119" i="5"/>
  <c r="H123" i="5"/>
  <c r="I123" i="5"/>
  <c r="C128" i="5"/>
  <c r="C135" i="5" s="1"/>
  <c r="C136" i="5" s="1"/>
  <c r="D128" i="5"/>
  <c r="D135" i="5" s="1"/>
  <c r="D136" i="5" s="1"/>
  <c r="E128" i="5"/>
  <c r="F128" i="5"/>
  <c r="G128" i="5"/>
  <c r="G135" i="5" s="1"/>
  <c r="G136" i="5" s="1"/>
  <c r="H129" i="5"/>
  <c r="I129" i="5"/>
  <c r="C130" i="5"/>
  <c r="C166" i="6" s="1"/>
  <c r="D130" i="5"/>
  <c r="D166" i="6" s="1"/>
  <c r="D167" i="6" s="1"/>
  <c r="D169" i="6" s="1"/>
  <c r="E130" i="5"/>
  <c r="E166" i="6" s="1"/>
  <c r="E167" i="6" s="1"/>
  <c r="E169" i="6" s="1"/>
  <c r="F130" i="5"/>
  <c r="F166" i="6" s="1"/>
  <c r="F167" i="6" s="1"/>
  <c r="F169" i="6" s="1"/>
  <c r="G130" i="5"/>
  <c r="G166" i="6" s="1"/>
  <c r="B131" i="5"/>
  <c r="B170" i="6" s="1"/>
  <c r="B171" i="6" s="1"/>
  <c r="B173" i="6" s="1"/>
  <c r="C131" i="5"/>
  <c r="C170" i="6" s="1"/>
  <c r="C171" i="6" s="1"/>
  <c r="C173" i="6" s="1"/>
  <c r="D131" i="5"/>
  <c r="D170" i="6" s="1"/>
  <c r="D171" i="6" s="1"/>
  <c r="D173" i="6" s="1"/>
  <c r="E131" i="5"/>
  <c r="E170" i="6" s="1"/>
  <c r="F131" i="5"/>
  <c r="F170" i="6" s="1"/>
  <c r="F171" i="6" s="1"/>
  <c r="F173" i="6" s="1"/>
  <c r="G131" i="5"/>
  <c r="G170" i="6" s="1"/>
  <c r="B132" i="5"/>
  <c r="B174" i="6" s="1"/>
  <c r="C132" i="5"/>
  <c r="C174" i="6" s="1"/>
  <c r="D132" i="5"/>
  <c r="D174" i="6" s="1"/>
  <c r="E132" i="5"/>
  <c r="E174" i="6" s="1"/>
  <c r="E175" i="6" s="1"/>
  <c r="E177" i="6" s="1"/>
  <c r="F132" i="5"/>
  <c r="F174" i="6" s="1"/>
  <c r="F175" i="6" s="1"/>
  <c r="F177" i="6" s="1"/>
  <c r="G132" i="5"/>
  <c r="G174" i="6" s="1"/>
  <c r="E135" i="5"/>
  <c r="E136" i="5" s="1"/>
  <c r="F135" i="5"/>
  <c r="F136" i="5" s="1"/>
  <c r="B139" i="5"/>
  <c r="B143" i="5" s="1"/>
  <c r="B146" i="5" s="1"/>
  <c r="B147" i="5" s="1"/>
  <c r="C143" i="5"/>
  <c r="C146" i="5" s="1"/>
  <c r="C147" i="5" s="1"/>
  <c r="D143" i="5"/>
  <c r="E143" i="5"/>
  <c r="E146" i="5" s="1"/>
  <c r="F143" i="5"/>
  <c r="F146" i="5" s="1"/>
  <c r="F147" i="5" s="1"/>
  <c r="G143" i="5"/>
  <c r="H143" i="5"/>
  <c r="I143" i="5"/>
  <c r="I146" i="5" s="1"/>
  <c r="D146" i="5"/>
  <c r="G146" i="5"/>
  <c r="H146" i="5"/>
  <c r="G147" i="5"/>
  <c r="B150" i="5"/>
  <c r="B154" i="5" s="1"/>
  <c r="B157" i="5" s="1"/>
  <c r="B158" i="5" s="1"/>
  <c r="C150" i="5"/>
  <c r="C79" i="6" s="1"/>
  <c r="C154" i="5"/>
  <c r="C157" i="5" s="1"/>
  <c r="C158" i="5" s="1"/>
  <c r="D154" i="5"/>
  <c r="D157" i="5" s="1"/>
  <c r="D158" i="5" s="1"/>
  <c r="E154" i="5"/>
  <c r="F154" i="5"/>
  <c r="G154" i="5"/>
  <c r="G157" i="5" s="1"/>
  <c r="G158" i="5" s="1"/>
  <c r="H154" i="5"/>
  <c r="H157" i="5" s="1"/>
  <c r="H158" i="5" s="1"/>
  <c r="I154" i="5"/>
  <c r="I157" i="5" s="1"/>
  <c r="I158" i="5" s="1"/>
  <c r="E157" i="5"/>
  <c r="E158" i="5" s="1"/>
  <c r="F157" i="5"/>
  <c r="F158" i="5"/>
  <c r="B161" i="5"/>
  <c r="B76" i="6" s="1"/>
  <c r="B165" i="5"/>
  <c r="C165" i="5"/>
  <c r="D165" i="5"/>
  <c r="E165" i="5"/>
  <c r="E167" i="5" s="1"/>
  <c r="F165" i="5"/>
  <c r="G165" i="5"/>
  <c r="H165" i="5"/>
  <c r="I165" i="5"/>
  <c r="C167" i="5"/>
  <c r="C211" i="6" s="1"/>
  <c r="D167" i="5"/>
  <c r="F167" i="5"/>
  <c r="F211" i="6" s="1"/>
  <c r="F213" i="6" s="1"/>
  <c r="G167" i="5"/>
  <c r="G211" i="6" s="1"/>
  <c r="G213" i="6" s="1"/>
  <c r="H167" i="5"/>
  <c r="H211" i="6" s="1"/>
  <c r="I167" i="5"/>
  <c r="I211" i="6" s="1"/>
  <c r="I212" i="6" s="1"/>
  <c r="D168" i="5"/>
  <c r="G168" i="5"/>
  <c r="H168" i="5"/>
  <c r="I168" i="5"/>
  <c r="I169" i="5" s="1"/>
  <c r="D169" i="5"/>
  <c r="G169" i="5"/>
  <c r="H169" i="5"/>
  <c r="B172" i="5"/>
  <c r="B176" i="5" s="1"/>
  <c r="B179" i="5" s="1"/>
  <c r="B180" i="5" s="1"/>
  <c r="C176" i="5"/>
  <c r="C179" i="5" s="1"/>
  <c r="C180" i="5" s="1"/>
  <c r="E176" i="5"/>
  <c r="E179" i="5" s="1"/>
  <c r="E180" i="5" s="1"/>
  <c r="F176" i="5"/>
  <c r="G176" i="5"/>
  <c r="G179" i="5" s="1"/>
  <c r="G180" i="5" s="1"/>
  <c r="H176" i="5"/>
  <c r="H179" i="5" s="1"/>
  <c r="H180" i="5" s="1"/>
  <c r="I176" i="5"/>
  <c r="D179" i="5"/>
  <c r="D180" i="5" s="1"/>
  <c r="F179" i="5"/>
  <c r="F180" i="5" s="1"/>
  <c r="I179" i="5"/>
  <c r="I180" i="5" s="1"/>
  <c r="B54" i="8" l="1"/>
  <c r="B66" i="8" s="1"/>
  <c r="M59" i="8"/>
  <c r="J54" i="8"/>
  <c r="J52" i="8"/>
  <c r="J16" i="8"/>
  <c r="J17" i="8" s="1"/>
  <c r="M33" i="8"/>
  <c r="E147" i="5"/>
  <c r="D175" i="6"/>
  <c r="D177" i="6" s="1"/>
  <c r="G167" i="6"/>
  <c r="G169" i="6" s="1"/>
  <c r="H167" i="6"/>
  <c r="H169" i="6" s="1"/>
  <c r="B77" i="6"/>
  <c r="C77" i="6"/>
  <c r="C175" i="6"/>
  <c r="C177" i="6" s="1"/>
  <c r="B59" i="6"/>
  <c r="B61" i="6" s="1"/>
  <c r="C59" i="6"/>
  <c r="C61" i="6" s="1"/>
  <c r="I64" i="5"/>
  <c r="I76" i="5" s="1"/>
  <c r="I98" i="5" s="1"/>
  <c r="I20" i="5"/>
  <c r="J161" i="6"/>
  <c r="K162" i="6"/>
  <c r="K161" i="6" s="1"/>
  <c r="E211" i="6"/>
  <c r="E168" i="5"/>
  <c r="E169" i="5" s="1"/>
  <c r="C213" i="6"/>
  <c r="J114" i="6"/>
  <c r="J128" i="6" s="1"/>
  <c r="K116" i="6"/>
  <c r="H212" i="6"/>
  <c r="D80" i="6"/>
  <c r="G175" i="6"/>
  <c r="G177" i="6" s="1"/>
  <c r="E171" i="6"/>
  <c r="E173" i="6" s="1"/>
  <c r="C164" i="6"/>
  <c r="C191" i="6" s="1"/>
  <c r="H53" i="6"/>
  <c r="H78" i="6"/>
  <c r="C168" i="5"/>
  <c r="C169" i="5" s="1"/>
  <c r="I147" i="5"/>
  <c r="I182" i="6"/>
  <c r="C188" i="6"/>
  <c r="J166" i="6"/>
  <c r="F162" i="6"/>
  <c r="I161" i="6"/>
  <c r="F153" i="6"/>
  <c r="D151" i="6"/>
  <c r="H139" i="6"/>
  <c r="C123" i="6"/>
  <c r="G117" i="6"/>
  <c r="B69" i="6"/>
  <c r="H63" i="6"/>
  <c r="H65" i="6" s="1"/>
  <c r="D215" i="6"/>
  <c r="F210" i="6"/>
  <c r="H201" i="6"/>
  <c r="H203" i="6" s="1"/>
  <c r="H213" i="6"/>
  <c r="D193" i="6"/>
  <c r="G182" i="6"/>
  <c r="C153" i="6"/>
  <c r="H159" i="6"/>
  <c r="I132" i="6"/>
  <c r="E125" i="6"/>
  <c r="E127" i="6" s="1"/>
  <c r="B123" i="6"/>
  <c r="G101" i="6"/>
  <c r="C94" i="6"/>
  <c r="C96" i="6" s="1"/>
  <c r="I86" i="6"/>
  <c r="I88" i="6" s="1"/>
  <c r="G63" i="6"/>
  <c r="G65" i="6" s="1"/>
  <c r="D61" i="6"/>
  <c r="G21" i="6"/>
  <c r="B167" i="5"/>
  <c r="B211" i="6" s="1"/>
  <c r="B212" i="6" s="1"/>
  <c r="C210" i="6"/>
  <c r="E201" i="6"/>
  <c r="E203" i="6" s="1"/>
  <c r="G201" i="6"/>
  <c r="G203" i="6" s="1"/>
  <c r="I158" i="6"/>
  <c r="G125" i="6"/>
  <c r="G127" i="6" s="1"/>
  <c r="E92" i="6"/>
  <c r="B73" i="6"/>
  <c r="H55" i="6"/>
  <c r="H57" i="6" s="1"/>
  <c r="D41" i="6"/>
  <c r="H21" i="6"/>
  <c r="F21" i="6"/>
  <c r="F40" i="6" s="1"/>
  <c r="F205" i="6"/>
  <c r="F201" i="6"/>
  <c r="I179" i="6"/>
  <c r="I181" i="6" s="1"/>
  <c r="B166" i="6"/>
  <c r="B167" i="6" s="1"/>
  <c r="B169" i="6" s="1"/>
  <c r="G161" i="6"/>
  <c r="D158" i="6"/>
  <c r="B156" i="6"/>
  <c r="E134" i="6"/>
  <c r="H121" i="6"/>
  <c r="H123" i="6" s="1"/>
  <c r="B119" i="6"/>
  <c r="B103" i="6"/>
  <c r="B79" i="6"/>
  <c r="B80" i="6" s="1"/>
  <c r="C49" i="6"/>
  <c r="F32" i="6"/>
  <c r="B177" i="6"/>
  <c r="I155" i="6"/>
  <c r="D147" i="6"/>
  <c r="B127" i="6"/>
  <c r="I101" i="6"/>
  <c r="C97" i="6"/>
  <c r="C98" i="6" s="1"/>
  <c r="B54" i="6"/>
  <c r="E34" i="6"/>
  <c r="F168" i="5"/>
  <c r="F169" i="5" s="1"/>
  <c r="H10" i="5"/>
  <c r="F216" i="6"/>
  <c r="B201" i="6"/>
  <c r="B202" i="6" s="1"/>
  <c r="D207" i="6"/>
  <c r="E196" i="6"/>
  <c r="I190" i="6"/>
  <c r="D190" i="6"/>
  <c r="H186" i="6"/>
  <c r="F179" i="6"/>
  <c r="F181" i="6" s="1"/>
  <c r="H171" i="6"/>
  <c r="H173" i="6" s="1"/>
  <c r="B159" i="6"/>
  <c r="E153" i="6"/>
  <c r="I121" i="6"/>
  <c r="I123" i="6" s="1"/>
  <c r="F121" i="6"/>
  <c r="F123" i="6" s="1"/>
  <c r="H111" i="6"/>
  <c r="G90" i="6"/>
  <c r="G92" i="6" s="1"/>
  <c r="D88" i="6"/>
  <c r="J85" i="6"/>
  <c r="D77" i="6"/>
  <c r="E63" i="6"/>
  <c r="E65" i="6" s="1"/>
  <c r="D34" i="6"/>
  <c r="F28" i="6"/>
  <c r="F30" i="6" s="1"/>
  <c r="E216" i="6"/>
  <c r="G216" i="6"/>
  <c r="I201" i="6"/>
  <c r="B207" i="6"/>
  <c r="C205" i="6"/>
  <c r="C190" i="6"/>
  <c r="G186" i="6"/>
  <c r="E179" i="6"/>
  <c r="E181" i="6" s="1"/>
  <c r="I175" i="6"/>
  <c r="I177" i="6" s="1"/>
  <c r="G128" i="6"/>
  <c r="G130" i="6" s="1"/>
  <c r="G103" i="6"/>
  <c r="F94" i="6"/>
  <c r="G83" i="6"/>
  <c r="G61" i="6"/>
  <c r="H24" i="6"/>
  <c r="H26" i="6" s="1"/>
  <c r="H128" i="5"/>
  <c r="H135" i="5" s="1"/>
  <c r="H136" i="5" s="1"/>
  <c r="D212" i="6"/>
  <c r="H175" i="6"/>
  <c r="H177" i="6" s="1"/>
  <c r="F119" i="6"/>
  <c r="H92" i="6"/>
  <c r="E90" i="6"/>
  <c r="H83" i="6"/>
  <c r="I84" i="6" s="1"/>
  <c r="J27" i="6"/>
  <c r="K27" i="6" s="1"/>
  <c r="C24" i="6"/>
  <c r="C26" i="6" s="1"/>
  <c r="I203" i="6"/>
  <c r="J203" i="6" s="1"/>
  <c r="K203" i="6" s="1"/>
  <c r="L203" i="6" s="1"/>
  <c r="M203" i="6" s="1"/>
  <c r="N203" i="6" s="1"/>
  <c r="I202" i="6"/>
  <c r="N176" i="6"/>
  <c r="N175" i="6" s="1"/>
  <c r="M175" i="6"/>
  <c r="I183" i="6"/>
  <c r="G194" i="6"/>
  <c r="M179" i="6"/>
  <c r="N180" i="6"/>
  <c r="N179" i="6" s="1"/>
  <c r="K153" i="6"/>
  <c r="L178" i="6"/>
  <c r="M178" i="6" s="1"/>
  <c r="N178" i="6" s="1"/>
  <c r="J164" i="6"/>
  <c r="K166" i="6"/>
  <c r="F191" i="6"/>
  <c r="B183" i="6"/>
  <c r="L170" i="6"/>
  <c r="K200" i="6"/>
  <c r="J215" i="6"/>
  <c r="K216" i="6"/>
  <c r="K214" i="6" s="1"/>
  <c r="B203" i="6"/>
  <c r="C202" i="6"/>
  <c r="K174" i="6"/>
  <c r="L174" i="6" s="1"/>
  <c r="I164" i="6"/>
  <c r="I184" i="6" s="1"/>
  <c r="F147" i="6"/>
  <c r="G155" i="6"/>
  <c r="I136" i="6"/>
  <c r="I128" i="6"/>
  <c r="F125" i="6"/>
  <c r="F127" i="6" s="1"/>
  <c r="C133" i="6"/>
  <c r="N95" i="6"/>
  <c r="N94" i="6" s="1"/>
  <c r="M94" i="6"/>
  <c r="M91" i="6"/>
  <c r="D146" i="6"/>
  <c r="D156" i="6"/>
  <c r="E139" i="6"/>
  <c r="F139" i="6"/>
  <c r="K134" i="6"/>
  <c r="J141" i="6"/>
  <c r="J131" i="6" s="1"/>
  <c r="G164" i="6"/>
  <c r="E147" i="6"/>
  <c r="E156" i="6"/>
  <c r="E155" i="6"/>
  <c r="C200" i="6"/>
  <c r="C194" i="6"/>
  <c r="H193" i="6"/>
  <c r="G190" i="6"/>
  <c r="I188" i="6"/>
  <c r="J188" i="6" s="1"/>
  <c r="C186" i="6"/>
  <c r="F182" i="6"/>
  <c r="M173" i="6"/>
  <c r="G171" i="6"/>
  <c r="G173" i="6" s="1"/>
  <c r="L169" i="6"/>
  <c r="M169" i="6" s="1"/>
  <c r="N169" i="6" s="1"/>
  <c r="F164" i="6"/>
  <c r="C158" i="6"/>
  <c r="I152" i="6"/>
  <c r="I147" i="6"/>
  <c r="D139" i="6"/>
  <c r="G134" i="6"/>
  <c r="H134" i="6"/>
  <c r="I111" i="6"/>
  <c r="I103" i="6"/>
  <c r="J103" i="6" s="1"/>
  <c r="D99" i="6"/>
  <c r="I98" i="6"/>
  <c r="I99" i="6"/>
  <c r="I207" i="6"/>
  <c r="J207" i="6" s="1"/>
  <c r="B188" i="6"/>
  <c r="I215" i="6"/>
  <c r="H207" i="6"/>
  <c r="F212" i="6"/>
  <c r="E209" i="6"/>
  <c r="H202" i="6"/>
  <c r="C197" i="6"/>
  <c r="B186" i="6"/>
  <c r="E164" i="6"/>
  <c r="E191" i="6" s="1"/>
  <c r="H152" i="6"/>
  <c r="H153" i="6"/>
  <c r="C139" i="6"/>
  <c r="C140" i="6"/>
  <c r="G129" i="6"/>
  <c r="B152" i="6"/>
  <c r="B151" i="6"/>
  <c r="C151" i="6"/>
  <c r="G212" i="6"/>
  <c r="F209" i="6"/>
  <c r="I196" i="6"/>
  <c r="H215" i="6"/>
  <c r="B213" i="6"/>
  <c r="I205" i="6"/>
  <c r="J200" i="6"/>
  <c r="H196" i="6"/>
  <c r="H183" i="6"/>
  <c r="E182" i="6"/>
  <c r="M168" i="6"/>
  <c r="L167" i="6"/>
  <c r="B153" i="6"/>
  <c r="B216" i="6"/>
  <c r="G215" i="6"/>
  <c r="I213" i="6"/>
  <c r="J213" i="6" s="1"/>
  <c r="K213" i="6" s="1"/>
  <c r="L213" i="6" s="1"/>
  <c r="M213" i="6" s="1"/>
  <c r="N213" i="6" s="1"/>
  <c r="G210" i="6"/>
  <c r="D209" i="6"/>
  <c r="F207" i="6"/>
  <c r="H205" i="6"/>
  <c r="G202" i="6"/>
  <c r="D201" i="6"/>
  <c r="E202" i="6" s="1"/>
  <c r="I200" i="6"/>
  <c r="G196" i="6"/>
  <c r="F193" i="6"/>
  <c r="E190" i="6"/>
  <c r="G188" i="6"/>
  <c r="I186" i="6"/>
  <c r="G183" i="6"/>
  <c r="D182" i="6"/>
  <c r="H179" i="6"/>
  <c r="H181" i="6" s="1"/>
  <c r="H164" i="6"/>
  <c r="H197" i="6" s="1"/>
  <c r="D164" i="6"/>
  <c r="E162" i="6"/>
  <c r="G153" i="6"/>
  <c r="G162" i="6"/>
  <c r="I151" i="6"/>
  <c r="G149" i="6"/>
  <c r="G148" i="6"/>
  <c r="F142" i="6"/>
  <c r="G142" i="6"/>
  <c r="B139" i="6"/>
  <c r="H132" i="6"/>
  <c r="M125" i="6"/>
  <c r="H112" i="6"/>
  <c r="I108" i="6"/>
  <c r="I102" i="6"/>
  <c r="L55" i="6"/>
  <c r="M56" i="6"/>
  <c r="H210" i="6"/>
  <c r="B200" i="6"/>
  <c r="G193" i="6"/>
  <c r="F190" i="6"/>
  <c r="H188" i="6"/>
  <c r="H162" i="6"/>
  <c r="H161" i="6"/>
  <c r="N125" i="6"/>
  <c r="C209" i="6"/>
  <c r="E207" i="6"/>
  <c r="G205" i="6"/>
  <c r="H200" i="6"/>
  <c r="F196" i="6"/>
  <c r="C187" i="6"/>
  <c r="C182" i="6"/>
  <c r="I171" i="6"/>
  <c r="I173" i="6" s="1"/>
  <c r="C167" i="6"/>
  <c r="C169" i="6" s="1"/>
  <c r="B164" i="6"/>
  <c r="B187" i="6" s="1"/>
  <c r="H151" i="6"/>
  <c r="L142" i="6"/>
  <c r="M143" i="6"/>
  <c r="E142" i="6"/>
  <c r="D128" i="6"/>
  <c r="D136" i="6"/>
  <c r="E136" i="6"/>
  <c r="G132" i="6"/>
  <c r="L125" i="6"/>
  <c r="L123" i="6"/>
  <c r="K121" i="6"/>
  <c r="K120" i="6" s="1"/>
  <c r="F114" i="6"/>
  <c r="F130" i="6" s="1"/>
  <c r="G112" i="6"/>
  <c r="H84" i="6"/>
  <c r="H109" i="6"/>
  <c r="H102" i="6"/>
  <c r="D74" i="6"/>
  <c r="D66" i="6"/>
  <c r="J214" i="6"/>
  <c r="E210" i="6"/>
  <c r="B209" i="6"/>
  <c r="J201" i="6"/>
  <c r="F158" i="6"/>
  <c r="H147" i="6"/>
  <c r="H155" i="6"/>
  <c r="D142" i="6"/>
  <c r="C136" i="6"/>
  <c r="K125" i="6"/>
  <c r="C117" i="6"/>
  <c r="C119" i="6" s="1"/>
  <c r="E114" i="6"/>
  <c r="E143" i="6" s="1"/>
  <c r="H105" i="6"/>
  <c r="I105" i="6"/>
  <c r="H106" i="6"/>
  <c r="C92" i="6"/>
  <c r="C83" i="6"/>
  <c r="D84" i="6" s="1"/>
  <c r="G102" i="6"/>
  <c r="G109" i="6"/>
  <c r="L162" i="6"/>
  <c r="D162" i="6"/>
  <c r="E159" i="6"/>
  <c r="B158" i="6"/>
  <c r="F155" i="6"/>
  <c r="B147" i="6"/>
  <c r="F146" i="6"/>
  <c r="G146" i="6"/>
  <c r="C142" i="6"/>
  <c r="C143" i="6"/>
  <c r="B136" i="6"/>
  <c r="C129" i="6"/>
  <c r="C130" i="6"/>
  <c r="L116" i="6"/>
  <c r="D117" i="6"/>
  <c r="D119" i="6" s="1"/>
  <c r="E117" i="6"/>
  <c r="E119" i="6" s="1"/>
  <c r="D114" i="6"/>
  <c r="D115" i="6" s="1"/>
  <c r="D112" i="6"/>
  <c r="D102" i="6"/>
  <c r="D109" i="6"/>
  <c r="E77" i="6"/>
  <c r="E14" i="6"/>
  <c r="M63" i="6"/>
  <c r="N64" i="6"/>
  <c r="N63" i="6" s="1"/>
  <c r="E52" i="6"/>
  <c r="E78" i="6" s="1"/>
  <c r="F55" i="6"/>
  <c r="F57" i="6" s="1"/>
  <c r="K41" i="6"/>
  <c r="G97" i="6"/>
  <c r="K90" i="6"/>
  <c r="K89" i="6" s="1"/>
  <c r="L89" i="6" s="1"/>
  <c r="B17" i="6"/>
  <c r="H37" i="6"/>
  <c r="G151" i="6"/>
  <c r="I146" i="6"/>
  <c r="H128" i="6"/>
  <c r="F132" i="6"/>
  <c r="G119" i="6"/>
  <c r="I117" i="6"/>
  <c r="I119" i="6" s="1"/>
  <c r="I114" i="6"/>
  <c r="I137" i="6" s="1"/>
  <c r="B114" i="6"/>
  <c r="B140" i="6" s="1"/>
  <c r="D111" i="6"/>
  <c r="G106" i="6"/>
  <c r="D105" i="6"/>
  <c r="F105" i="6"/>
  <c r="F97" i="6"/>
  <c r="G94" i="6"/>
  <c r="G96" i="6" s="1"/>
  <c r="N81" i="6"/>
  <c r="N80" i="6" s="1"/>
  <c r="I17" i="6"/>
  <c r="G14" i="6"/>
  <c r="E161" i="6"/>
  <c r="F151" i="6"/>
  <c r="H146" i="6"/>
  <c r="J160" i="6"/>
  <c r="J150" i="6" s="1"/>
  <c r="K145" i="6"/>
  <c r="E132" i="6"/>
  <c r="H117" i="6"/>
  <c r="H119" i="6" s="1"/>
  <c r="H114" i="6"/>
  <c r="H143" i="6" s="1"/>
  <c r="E97" i="6"/>
  <c r="E105" i="6"/>
  <c r="C101" i="6"/>
  <c r="F103" i="6"/>
  <c r="F101" i="6"/>
  <c r="L88" i="6"/>
  <c r="M88" i="6" s="1"/>
  <c r="N88" i="6" s="1"/>
  <c r="N86" i="6" s="1"/>
  <c r="I80" i="6"/>
  <c r="C8" i="6"/>
  <c r="L60" i="6"/>
  <c r="K59" i="6"/>
  <c r="H17" i="6"/>
  <c r="C28" i="6"/>
  <c r="C30" i="6" s="1"/>
  <c r="D28" i="6"/>
  <c r="D30" i="6" s="1"/>
  <c r="D132" i="6"/>
  <c r="D134" i="6"/>
  <c r="K124" i="6"/>
  <c r="M111" i="6"/>
  <c r="D106" i="6"/>
  <c r="E103" i="6"/>
  <c r="E101" i="6"/>
  <c r="F96" i="6"/>
  <c r="K85" i="6"/>
  <c r="B86" i="6"/>
  <c r="B88" i="6" s="1"/>
  <c r="B83" i="6"/>
  <c r="C86" i="6"/>
  <c r="C88" i="6" s="1"/>
  <c r="J83" i="6"/>
  <c r="H80" i="6"/>
  <c r="H81" i="6"/>
  <c r="G66" i="6"/>
  <c r="G75" i="6"/>
  <c r="G74" i="6"/>
  <c r="H74" i="6"/>
  <c r="I72" i="6"/>
  <c r="J72" i="6" s="1"/>
  <c r="D65" i="6"/>
  <c r="I52" i="6"/>
  <c r="I78" i="6" s="1"/>
  <c r="J78" i="6" s="1"/>
  <c r="K78" i="6" s="1"/>
  <c r="L78" i="6" s="1"/>
  <c r="M78" i="6" s="1"/>
  <c r="N78" i="6" s="1"/>
  <c r="I59" i="6"/>
  <c r="I61" i="6" s="1"/>
  <c r="J58" i="6"/>
  <c r="K58" i="6" s="1"/>
  <c r="G50" i="6"/>
  <c r="G49" i="6"/>
  <c r="G17" i="6"/>
  <c r="H49" i="6"/>
  <c r="D153" i="6"/>
  <c r="C134" i="6"/>
  <c r="E129" i="6"/>
  <c r="E123" i="6"/>
  <c r="G114" i="6"/>
  <c r="G121" i="6"/>
  <c r="G123" i="6" s="1"/>
  <c r="L111" i="6"/>
  <c r="C109" i="6"/>
  <c r="C108" i="6"/>
  <c r="D108" i="6"/>
  <c r="C103" i="6"/>
  <c r="C102" i="6"/>
  <c r="D8" i="6"/>
  <c r="D101" i="6"/>
  <c r="L96" i="6"/>
  <c r="M96" i="6" s="1"/>
  <c r="N96" i="6" s="1"/>
  <c r="E94" i="6"/>
  <c r="E96" i="6" s="1"/>
  <c r="G80" i="6"/>
  <c r="G81" i="6"/>
  <c r="G77" i="6"/>
  <c r="H77" i="6"/>
  <c r="G78" i="6"/>
  <c r="F74" i="6"/>
  <c r="I70" i="6"/>
  <c r="J62" i="6"/>
  <c r="K62" i="6" s="1"/>
  <c r="L62" i="6" s="1"/>
  <c r="B63" i="6"/>
  <c r="B65" i="6" s="1"/>
  <c r="C63" i="6"/>
  <c r="C65" i="6" s="1"/>
  <c r="H61" i="6"/>
  <c r="G8" i="6"/>
  <c r="G39" i="6"/>
  <c r="G41" i="6"/>
  <c r="G35" i="6"/>
  <c r="H36" i="6" s="1"/>
  <c r="G40" i="6"/>
  <c r="C99" i="6"/>
  <c r="D94" i="6"/>
  <c r="D96" i="6" s="1"/>
  <c r="F77" i="6"/>
  <c r="E74" i="6"/>
  <c r="E75" i="6"/>
  <c r="E11" i="6"/>
  <c r="H70" i="6"/>
  <c r="H71" i="6"/>
  <c r="F67" i="6"/>
  <c r="G55" i="6"/>
  <c r="G57" i="6" s="1"/>
  <c r="F52" i="6"/>
  <c r="F81" i="6" s="1"/>
  <c r="C43" i="6"/>
  <c r="C35" i="6"/>
  <c r="C11" i="6"/>
  <c r="F8" i="6"/>
  <c r="N29" i="6"/>
  <c r="N28" i="6" s="1"/>
  <c r="G70" i="6"/>
  <c r="G72" i="6"/>
  <c r="K54" i="6"/>
  <c r="F47" i="6"/>
  <c r="F46" i="6"/>
  <c r="G11" i="6"/>
  <c r="H50" i="6"/>
  <c r="H47" i="6"/>
  <c r="H44" i="6"/>
  <c r="H22" i="6"/>
  <c r="G71" i="6"/>
  <c r="F70" i="6"/>
  <c r="F72" i="6"/>
  <c r="C67" i="6"/>
  <c r="E46" i="6"/>
  <c r="G108" i="6"/>
  <c r="D90" i="6"/>
  <c r="D92" i="6" s="1"/>
  <c r="F86" i="6"/>
  <c r="F88" i="6" s="1"/>
  <c r="F83" i="6"/>
  <c r="C81" i="6"/>
  <c r="C72" i="6"/>
  <c r="F65" i="6"/>
  <c r="G46" i="6"/>
  <c r="D46" i="6"/>
  <c r="D14" i="6"/>
  <c r="K32" i="6"/>
  <c r="L34" i="6"/>
  <c r="K24" i="6"/>
  <c r="L25" i="6"/>
  <c r="I106" i="6"/>
  <c r="H103" i="6"/>
  <c r="E83" i="6"/>
  <c r="E102" i="6" s="1"/>
  <c r="H66" i="6"/>
  <c r="H75" i="6"/>
  <c r="B72" i="6"/>
  <c r="D11" i="6"/>
  <c r="H40" i="6"/>
  <c r="H8" i="6"/>
  <c r="H39" i="6"/>
  <c r="F14" i="6"/>
  <c r="B66" i="6"/>
  <c r="D55" i="6"/>
  <c r="D57" i="6" s="1"/>
  <c r="D52" i="6"/>
  <c r="D75" i="6" s="1"/>
  <c r="F50" i="6"/>
  <c r="F41" i="6"/>
  <c r="F49" i="6"/>
  <c r="F11" i="6"/>
  <c r="E8" i="6"/>
  <c r="E24" i="6"/>
  <c r="E26" i="6" s="1"/>
  <c r="E21" i="6"/>
  <c r="F24" i="6"/>
  <c r="F26" i="6" s="1"/>
  <c r="G47" i="6"/>
  <c r="G44" i="6"/>
  <c r="G22" i="6"/>
  <c r="I66" i="6"/>
  <c r="I57" i="6"/>
  <c r="C55" i="6"/>
  <c r="C57" i="6" s="1"/>
  <c r="C52" i="6"/>
  <c r="C68" i="6" s="1"/>
  <c r="M50" i="6"/>
  <c r="E49" i="6"/>
  <c r="E17" i="6"/>
  <c r="I14" i="6"/>
  <c r="E43" i="6"/>
  <c r="N33" i="6"/>
  <c r="J31" i="6"/>
  <c r="K31" i="6" s="1"/>
  <c r="I32" i="6"/>
  <c r="I34" i="6" s="1"/>
  <c r="D24" i="6"/>
  <c r="D26" i="6" s="1"/>
  <c r="D21" i="6"/>
  <c r="F44" i="6"/>
  <c r="J52" i="6"/>
  <c r="B55" i="6"/>
  <c r="B57" i="6" s="1"/>
  <c r="B52" i="6"/>
  <c r="B81" i="6" s="1"/>
  <c r="H14" i="6"/>
  <c r="D43" i="6"/>
  <c r="D35" i="6"/>
  <c r="E36" i="6" s="1"/>
  <c r="F37" i="6"/>
  <c r="F5" i="6"/>
  <c r="F36" i="6"/>
  <c r="B8" i="6"/>
  <c r="E5" i="6"/>
  <c r="G34" i="6"/>
  <c r="B26" i="6"/>
  <c r="B50" i="6"/>
  <c r="I40" i="6"/>
  <c r="I8" i="6"/>
  <c r="I39" i="6"/>
  <c r="F34" i="6"/>
  <c r="F17" i="6"/>
  <c r="L30" i="6"/>
  <c r="M30" i="6" s="1"/>
  <c r="N30" i="6" s="1"/>
  <c r="L28" i="6"/>
  <c r="L27" i="6" s="1"/>
  <c r="K23" i="6"/>
  <c r="D17" i="6"/>
  <c r="C14" i="6"/>
  <c r="B11" i="6"/>
  <c r="C17" i="6"/>
  <c r="B14" i="6"/>
  <c r="I11" i="6"/>
  <c r="E41" i="6"/>
  <c r="B35" i="6"/>
  <c r="B21" i="6"/>
  <c r="H11" i="6"/>
  <c r="D49" i="6"/>
  <c r="F39" i="6"/>
  <c r="I35" i="6"/>
  <c r="I21" i="6"/>
  <c r="E39" i="6"/>
  <c r="D147" i="5"/>
  <c r="D12" i="5"/>
  <c r="D20" i="5" s="1"/>
  <c r="B136" i="5"/>
  <c r="I136" i="5"/>
  <c r="H12" i="5"/>
  <c r="H147" i="5"/>
  <c r="B115" i="5"/>
  <c r="B128" i="5" s="1"/>
  <c r="B135" i="5" s="1"/>
  <c r="N59" i="8" l="1"/>
  <c r="J18" i="8"/>
  <c r="J61" i="8"/>
  <c r="N33" i="8"/>
  <c r="J115" i="6"/>
  <c r="C165" i="6"/>
  <c r="I187" i="6"/>
  <c r="C80" i="6"/>
  <c r="E212" i="6"/>
  <c r="E213" i="6"/>
  <c r="E68" i="6"/>
  <c r="I133" i="6"/>
  <c r="E71" i="6"/>
  <c r="B130" i="6"/>
  <c r="H99" i="6"/>
  <c r="B74" i="6"/>
  <c r="C74" i="6"/>
  <c r="F71" i="6"/>
  <c r="F68" i="6"/>
  <c r="H3" i="6"/>
  <c r="F202" i="6"/>
  <c r="F203" i="6"/>
  <c r="B168" i="5"/>
  <c r="B169" i="5" s="1"/>
  <c r="D98" i="6"/>
  <c r="K201" i="6"/>
  <c r="K202" i="6" s="1"/>
  <c r="D149" i="6"/>
  <c r="D148" i="6"/>
  <c r="C70" i="6"/>
  <c r="B70" i="6"/>
  <c r="C212" i="6"/>
  <c r="K114" i="6"/>
  <c r="J151" i="6"/>
  <c r="I15" i="6"/>
  <c r="D15" i="6"/>
  <c r="G140" i="6"/>
  <c r="G137" i="6"/>
  <c r="G115" i="6"/>
  <c r="G98" i="6"/>
  <c r="G99" i="6"/>
  <c r="D183" i="6"/>
  <c r="D184" i="6"/>
  <c r="D140" i="6"/>
  <c r="I9" i="6"/>
  <c r="G18" i="6"/>
  <c r="I18" i="6"/>
  <c r="L41" i="6"/>
  <c r="M162" i="6"/>
  <c r="L161" i="6"/>
  <c r="E115" i="6"/>
  <c r="E133" i="6"/>
  <c r="H148" i="6"/>
  <c r="H149" i="6"/>
  <c r="M123" i="6"/>
  <c r="L121" i="6"/>
  <c r="L120" i="6" s="1"/>
  <c r="F183" i="6"/>
  <c r="F184" i="6"/>
  <c r="L134" i="6"/>
  <c r="J84" i="6"/>
  <c r="J97" i="6"/>
  <c r="J107" i="6"/>
  <c r="J110" i="6"/>
  <c r="D137" i="6"/>
  <c r="B12" i="6"/>
  <c r="B13" i="6"/>
  <c r="M90" i="6"/>
  <c r="M89" i="6" s="1"/>
  <c r="N89" i="6" s="1"/>
  <c r="N91" i="6"/>
  <c r="N90" i="6" s="1"/>
  <c r="B106" i="6"/>
  <c r="B84" i="6"/>
  <c r="B102" i="6"/>
  <c r="B112" i="6"/>
  <c r="M49" i="6"/>
  <c r="N50" i="6"/>
  <c r="N49" i="6" s="1"/>
  <c r="C12" i="6"/>
  <c r="M116" i="6"/>
  <c r="I148" i="6"/>
  <c r="I149" i="6"/>
  <c r="J149" i="6" s="1"/>
  <c r="E148" i="6"/>
  <c r="E149" i="6"/>
  <c r="J132" i="6"/>
  <c r="K211" i="6"/>
  <c r="C18" i="6"/>
  <c r="D68" i="6"/>
  <c r="D67" i="6"/>
  <c r="G12" i="6"/>
  <c r="B40" i="6"/>
  <c r="B3" i="6"/>
  <c r="B47" i="6"/>
  <c r="B44" i="6"/>
  <c r="K21" i="6"/>
  <c r="L23" i="6"/>
  <c r="D53" i="6"/>
  <c r="D71" i="6"/>
  <c r="D78" i="6"/>
  <c r="D81" i="6"/>
  <c r="M25" i="6"/>
  <c r="L24" i="6"/>
  <c r="K52" i="6"/>
  <c r="L54" i="6"/>
  <c r="C36" i="6"/>
  <c r="C5" i="6"/>
  <c r="B99" i="6"/>
  <c r="L85" i="6"/>
  <c r="K83" i="6"/>
  <c r="C21" i="6"/>
  <c r="C37" i="6" s="1"/>
  <c r="L145" i="6"/>
  <c r="K157" i="6"/>
  <c r="K158" i="6" s="1"/>
  <c r="K160" i="6"/>
  <c r="K150" i="6" s="1"/>
  <c r="L86" i="6"/>
  <c r="I115" i="6"/>
  <c r="I143" i="6"/>
  <c r="I140" i="6"/>
  <c r="J140" i="6" s="1"/>
  <c r="J202" i="6"/>
  <c r="E67" i="6"/>
  <c r="J100" i="6"/>
  <c r="K103" i="6"/>
  <c r="K188" i="6"/>
  <c r="G187" i="6"/>
  <c r="G191" i="6"/>
  <c r="G165" i="6"/>
  <c r="F148" i="6"/>
  <c r="F149" i="6"/>
  <c r="L199" i="6"/>
  <c r="G197" i="6"/>
  <c r="D40" i="6"/>
  <c r="D3" i="6"/>
  <c r="D10" i="6" s="1"/>
  <c r="D50" i="6"/>
  <c r="N56" i="6"/>
  <c r="N55" i="6" s="1"/>
  <c r="M55" i="6"/>
  <c r="E18" i="6"/>
  <c r="E112" i="6"/>
  <c r="E106" i="6"/>
  <c r="E109" i="6"/>
  <c r="E84" i="6"/>
  <c r="E15" i="6"/>
  <c r="M171" i="6"/>
  <c r="N173" i="6"/>
  <c r="N171" i="6" s="1"/>
  <c r="C15" i="6"/>
  <c r="F9" i="6"/>
  <c r="D18" i="6"/>
  <c r="G3" i="6"/>
  <c r="H4" i="6" s="1"/>
  <c r="B115" i="6"/>
  <c r="B143" i="6"/>
  <c r="B133" i="6"/>
  <c r="M142" i="6"/>
  <c r="N143" i="6"/>
  <c r="N142" i="6" s="1"/>
  <c r="E12" i="6"/>
  <c r="E22" i="6"/>
  <c r="E3" i="6"/>
  <c r="E40" i="6"/>
  <c r="E50" i="6"/>
  <c r="E140" i="6"/>
  <c r="M167" i="6"/>
  <c r="N168" i="6"/>
  <c r="N167" i="6" s="1"/>
  <c r="E165" i="6"/>
  <c r="E197" i="6"/>
  <c r="E187" i="6"/>
  <c r="E194" i="6"/>
  <c r="C115" i="6"/>
  <c r="I165" i="6"/>
  <c r="I194" i="6"/>
  <c r="J194" i="6" s="1"/>
  <c r="K194" i="6" s="1"/>
  <c r="L194" i="6" s="1"/>
  <c r="M194" i="6" s="1"/>
  <c r="N194" i="6" s="1"/>
  <c r="I191" i="6"/>
  <c r="L216" i="6"/>
  <c r="K215" i="6"/>
  <c r="M170" i="6"/>
  <c r="N170" i="6" s="1"/>
  <c r="K164" i="6"/>
  <c r="L166" i="6"/>
  <c r="L153" i="6"/>
  <c r="D44" i="6"/>
  <c r="F12" i="6"/>
  <c r="D9" i="6"/>
  <c r="C9" i="6"/>
  <c r="H130" i="6"/>
  <c r="H129" i="6"/>
  <c r="F137" i="6"/>
  <c r="F115" i="6"/>
  <c r="F133" i="6"/>
  <c r="F143" i="6"/>
  <c r="H16" i="6"/>
  <c r="H15" i="6"/>
  <c r="H9" i="6"/>
  <c r="H10" i="6"/>
  <c r="F112" i="6"/>
  <c r="F102" i="6"/>
  <c r="F106" i="6"/>
  <c r="F109" i="6"/>
  <c r="F84" i="6"/>
  <c r="G84" i="6"/>
  <c r="G9" i="6"/>
  <c r="D202" i="6"/>
  <c r="D203" i="6"/>
  <c r="H13" i="6"/>
  <c r="H12" i="6"/>
  <c r="B71" i="6"/>
  <c r="B53" i="6"/>
  <c r="B78" i="6"/>
  <c r="B75" i="6"/>
  <c r="D12" i="6"/>
  <c r="B37" i="6"/>
  <c r="B5" i="6"/>
  <c r="B36" i="6"/>
  <c r="F6" i="6"/>
  <c r="C71" i="6"/>
  <c r="C53" i="6"/>
  <c r="C78" i="6"/>
  <c r="F22" i="6"/>
  <c r="E37" i="6"/>
  <c r="E137" i="6"/>
  <c r="G67" i="6"/>
  <c r="G68" i="6"/>
  <c r="H19" i="6"/>
  <c r="H18" i="6"/>
  <c r="B19" i="6"/>
  <c r="B18" i="6"/>
  <c r="B149" i="6"/>
  <c r="C148" i="6"/>
  <c r="B148" i="6"/>
  <c r="C106" i="6"/>
  <c r="C84" i="6"/>
  <c r="C112" i="6"/>
  <c r="D133" i="6"/>
  <c r="I3" i="6"/>
  <c r="I4" i="6" s="1"/>
  <c r="I50" i="6"/>
  <c r="I47" i="6"/>
  <c r="J47" i="6" s="1"/>
  <c r="K47" i="6" s="1"/>
  <c r="L47" i="6" s="1"/>
  <c r="M47" i="6" s="1"/>
  <c r="N47" i="6" s="1"/>
  <c r="I22" i="6"/>
  <c r="I44" i="6"/>
  <c r="I12" i="6"/>
  <c r="J21" i="6"/>
  <c r="J152" i="6" s="1"/>
  <c r="D5" i="6"/>
  <c r="D36" i="6"/>
  <c r="D37" i="6"/>
  <c r="B67" i="6"/>
  <c r="B68" i="6"/>
  <c r="H68" i="6"/>
  <c r="H67" i="6"/>
  <c r="M34" i="6"/>
  <c r="L32" i="6"/>
  <c r="L31" i="6" s="1"/>
  <c r="F53" i="6"/>
  <c r="G53" i="6"/>
  <c r="F75" i="6"/>
  <c r="G37" i="6"/>
  <c r="G5" i="6"/>
  <c r="G36" i="6"/>
  <c r="B109" i="6"/>
  <c r="F140" i="6"/>
  <c r="L94" i="6"/>
  <c r="L93" i="6" s="1"/>
  <c r="M93" i="6" s="1"/>
  <c r="N93" i="6" s="1"/>
  <c r="E130" i="6"/>
  <c r="F98" i="6"/>
  <c r="F99" i="6"/>
  <c r="E53" i="6"/>
  <c r="E81" i="6"/>
  <c r="G133" i="6"/>
  <c r="B197" i="6"/>
  <c r="B194" i="6"/>
  <c r="B191" i="6"/>
  <c r="D194" i="6"/>
  <c r="D191" i="6"/>
  <c r="D197" i="6"/>
  <c r="D187" i="6"/>
  <c r="D165" i="6"/>
  <c r="E183" i="6"/>
  <c r="E184" i="6"/>
  <c r="H98" i="6"/>
  <c r="J204" i="6"/>
  <c r="K207" i="6"/>
  <c r="F165" i="6"/>
  <c r="F197" i="6"/>
  <c r="F187" i="6"/>
  <c r="J129" i="6"/>
  <c r="J135" i="6"/>
  <c r="M174" i="6"/>
  <c r="N174" i="6" s="1"/>
  <c r="I197" i="6"/>
  <c r="J182" i="6"/>
  <c r="J195" i="6"/>
  <c r="J185" i="6" s="1"/>
  <c r="J165" i="6"/>
  <c r="J192" i="6"/>
  <c r="J193" i="6" s="1"/>
  <c r="D47" i="6"/>
  <c r="H115" i="6"/>
  <c r="H137" i="6"/>
  <c r="H140" i="6"/>
  <c r="K72" i="6"/>
  <c r="G15" i="6"/>
  <c r="C184" i="6"/>
  <c r="C183" i="6"/>
  <c r="I130" i="6"/>
  <c r="I129" i="6"/>
  <c r="B9" i="6"/>
  <c r="B10" i="6"/>
  <c r="H5" i="6"/>
  <c r="J66" i="6"/>
  <c r="J76" i="6"/>
  <c r="J79" i="6"/>
  <c r="J69" i="6" s="1"/>
  <c r="J53" i="6"/>
  <c r="M62" i="6"/>
  <c r="N62" i="6" s="1"/>
  <c r="L124" i="6"/>
  <c r="M124" i="6" s="1"/>
  <c r="N124" i="6" s="1"/>
  <c r="I37" i="6"/>
  <c r="I5" i="6"/>
  <c r="I36" i="6"/>
  <c r="B15" i="6"/>
  <c r="B16" i="6"/>
  <c r="F18" i="6"/>
  <c r="F3" i="6"/>
  <c r="E44" i="6"/>
  <c r="I68" i="6"/>
  <c r="I67" i="6"/>
  <c r="E9" i="6"/>
  <c r="F15" i="6"/>
  <c r="C75" i="6"/>
  <c r="E47" i="6"/>
  <c r="M28" i="6"/>
  <c r="M27" i="6" s="1"/>
  <c r="N27" i="6" s="1"/>
  <c r="F78" i="6"/>
  <c r="G143" i="6"/>
  <c r="I53" i="6"/>
  <c r="I75" i="6"/>
  <c r="I81" i="6"/>
  <c r="I71" i="6"/>
  <c r="M60" i="6"/>
  <c r="L59" i="6"/>
  <c r="L58" i="6" s="1"/>
  <c r="E99" i="6"/>
  <c r="E98" i="6"/>
  <c r="M86" i="6"/>
  <c r="B137" i="6"/>
  <c r="D143" i="6"/>
  <c r="D129" i="6"/>
  <c r="D130" i="6"/>
  <c r="H165" i="6"/>
  <c r="H187" i="6"/>
  <c r="H191" i="6"/>
  <c r="J211" i="6"/>
  <c r="H133" i="6"/>
  <c r="H194" i="6"/>
  <c r="G184" i="6"/>
  <c r="B184" i="6"/>
  <c r="H184" i="6"/>
  <c r="F194" i="6"/>
  <c r="H20" i="5"/>
  <c r="H64" i="5"/>
  <c r="H76" i="5" s="1"/>
  <c r="H98" i="5" s="1"/>
  <c r="H100" i="5" s="1"/>
  <c r="J64" i="8" l="1"/>
  <c r="J66" i="8" s="1"/>
  <c r="J68" i="8" s="1"/>
  <c r="J41" i="8"/>
  <c r="F4" i="6"/>
  <c r="J133" i="6"/>
  <c r="G13" i="6"/>
  <c r="E10" i="6"/>
  <c r="E7" i="6"/>
  <c r="J70" i="6"/>
  <c r="J71" i="6"/>
  <c r="M120" i="6"/>
  <c r="L114" i="6"/>
  <c r="K151" i="6"/>
  <c r="K152" i="6"/>
  <c r="L52" i="6"/>
  <c r="M54" i="6"/>
  <c r="M166" i="6"/>
  <c r="L164" i="6"/>
  <c r="J136" i="6"/>
  <c r="J137" i="6"/>
  <c r="L160" i="6"/>
  <c r="M145" i="6"/>
  <c r="L157" i="6"/>
  <c r="L158" i="6" s="1"/>
  <c r="K165" i="6"/>
  <c r="K182" i="6"/>
  <c r="K195" i="6"/>
  <c r="K185" i="6" s="1"/>
  <c r="K192" i="6"/>
  <c r="K193" i="6" s="1"/>
  <c r="K66" i="6"/>
  <c r="K76" i="6"/>
  <c r="K77" i="6" s="1"/>
  <c r="K79" i="6"/>
  <c r="K69" i="6" s="1"/>
  <c r="K53" i="6"/>
  <c r="E19" i="6"/>
  <c r="D22" i="6"/>
  <c r="L188" i="6"/>
  <c r="K84" i="6"/>
  <c r="K97" i="6"/>
  <c r="K107" i="6"/>
  <c r="K108" i="6" s="1"/>
  <c r="K110" i="6"/>
  <c r="K22" i="6"/>
  <c r="K35" i="6"/>
  <c r="K48" i="6"/>
  <c r="K45" i="6"/>
  <c r="K3" i="6"/>
  <c r="I19" i="6"/>
  <c r="I16" i="6"/>
  <c r="J186" i="6"/>
  <c r="J187" i="6"/>
  <c r="J73" i="6"/>
  <c r="J67" i="6"/>
  <c r="G4" i="6"/>
  <c r="G16" i="6"/>
  <c r="I13" i="6"/>
  <c r="D13" i="6"/>
  <c r="F13" i="6"/>
  <c r="L215" i="6"/>
  <c r="M216" i="6"/>
  <c r="D19" i="6"/>
  <c r="M199" i="6"/>
  <c r="L200" i="6"/>
  <c r="L201" i="6"/>
  <c r="L214" i="6"/>
  <c r="L211" i="6"/>
  <c r="L212" i="6" s="1"/>
  <c r="K100" i="6"/>
  <c r="L103" i="6"/>
  <c r="J147" i="6"/>
  <c r="J154" i="6" s="1"/>
  <c r="K149" i="6"/>
  <c r="G19" i="6"/>
  <c r="L21" i="6"/>
  <c r="I6" i="6"/>
  <c r="I7" i="6"/>
  <c r="J35" i="6"/>
  <c r="J48" i="6"/>
  <c r="J45" i="6"/>
  <c r="J3" i="6"/>
  <c r="J4" i="6" s="1"/>
  <c r="J22" i="6"/>
  <c r="L72" i="6"/>
  <c r="G6" i="6"/>
  <c r="G7" i="6"/>
  <c r="E13" i="6"/>
  <c r="E16" i="6"/>
  <c r="J101" i="6"/>
  <c r="J102" i="6"/>
  <c r="B4" i="6"/>
  <c r="B22" i="6"/>
  <c r="I10" i="6"/>
  <c r="K115" i="6"/>
  <c r="K141" i="6"/>
  <c r="K131" i="6" s="1"/>
  <c r="K128" i="6"/>
  <c r="N123" i="6"/>
  <c r="N121" i="6" s="1"/>
  <c r="M121" i="6"/>
  <c r="C22" i="6"/>
  <c r="C40" i="6"/>
  <c r="C3" i="6"/>
  <c r="D4" i="6" s="1"/>
  <c r="C47" i="6"/>
  <c r="C50" i="6"/>
  <c r="C44" i="6"/>
  <c r="D7" i="6"/>
  <c r="D6" i="6"/>
  <c r="E6" i="6"/>
  <c r="N34" i="6"/>
  <c r="N32" i="6" s="1"/>
  <c r="M32" i="6"/>
  <c r="M31" i="6" s="1"/>
  <c r="N31" i="6" s="1"/>
  <c r="N25" i="6"/>
  <c r="N24" i="6" s="1"/>
  <c r="M24" i="6"/>
  <c r="M23" i="6" s="1"/>
  <c r="M134" i="6"/>
  <c r="F19" i="6"/>
  <c r="J183" i="6"/>
  <c r="J189" i="6"/>
  <c r="K204" i="6"/>
  <c r="L207" i="6"/>
  <c r="G10" i="6"/>
  <c r="L150" i="6"/>
  <c r="M153" i="6"/>
  <c r="C6" i="6"/>
  <c r="M161" i="6"/>
  <c r="N162" i="6"/>
  <c r="N161" i="6" s="1"/>
  <c r="E4" i="6"/>
  <c r="B7" i="6"/>
  <c r="B6" i="6"/>
  <c r="K140" i="6"/>
  <c r="L140" i="6" s="1"/>
  <c r="M140" i="6" s="1"/>
  <c r="N140" i="6" s="1"/>
  <c r="J138" i="6"/>
  <c r="N60" i="6"/>
  <c r="N59" i="6" s="1"/>
  <c r="M59" i="6"/>
  <c r="M58" i="6" s="1"/>
  <c r="N58" i="6" s="1"/>
  <c r="H6" i="6"/>
  <c r="H7" i="6"/>
  <c r="L83" i="6"/>
  <c r="M85" i="6"/>
  <c r="F16" i="6"/>
  <c r="J206" i="6"/>
  <c r="J205" i="6"/>
  <c r="F7" i="6"/>
  <c r="F10" i="6"/>
  <c r="J208" i="6"/>
  <c r="K212" i="6"/>
  <c r="N116" i="6"/>
  <c r="J104" i="6"/>
  <c r="J98" i="6"/>
  <c r="M41" i="6"/>
  <c r="D16" i="6"/>
  <c r="I99" i="5"/>
  <c r="I100" i="5" s="1"/>
  <c r="I101" i="5" s="1"/>
  <c r="H101" i="5"/>
  <c r="J39" i="8" l="1"/>
  <c r="J43" i="8" s="1"/>
  <c r="K67" i="8"/>
  <c r="K50" i="8" s="1"/>
  <c r="J21" i="8"/>
  <c r="J31" i="8" s="1"/>
  <c r="K138" i="6"/>
  <c r="K139" i="6" s="1"/>
  <c r="K187" i="6"/>
  <c r="K186" i="6"/>
  <c r="N23" i="6"/>
  <c r="N21" i="6" s="1"/>
  <c r="M21" i="6"/>
  <c r="N145" i="6"/>
  <c r="M157" i="6"/>
  <c r="M158" i="6" s="1"/>
  <c r="M160" i="6"/>
  <c r="M150" i="6" s="1"/>
  <c r="N153" i="6"/>
  <c r="L107" i="6"/>
  <c r="L108" i="6" s="1"/>
  <c r="L110" i="6"/>
  <c r="L84" i="6"/>
  <c r="L97" i="6"/>
  <c r="L151" i="6"/>
  <c r="L152" i="6"/>
  <c r="N134" i="6"/>
  <c r="J209" i="6"/>
  <c r="J210" i="6"/>
  <c r="L149" i="6"/>
  <c r="K147" i="6"/>
  <c r="K154" i="6" s="1"/>
  <c r="K46" i="6"/>
  <c r="K14" i="6"/>
  <c r="M188" i="6"/>
  <c r="L115" i="6"/>
  <c r="L128" i="6"/>
  <c r="L138" i="6"/>
  <c r="L139" i="6" s="1"/>
  <c r="L141" i="6"/>
  <c r="L131" i="6" s="1"/>
  <c r="L204" i="6"/>
  <c r="M207" i="6"/>
  <c r="C4" i="6"/>
  <c r="C10" i="6"/>
  <c r="C19" i="6"/>
  <c r="C16" i="6"/>
  <c r="C13" i="6"/>
  <c r="L100" i="6"/>
  <c r="M103" i="6"/>
  <c r="M215" i="6"/>
  <c r="N216" i="6"/>
  <c r="N215" i="6" s="1"/>
  <c r="J75" i="6"/>
  <c r="J74" i="6"/>
  <c r="L192" i="6"/>
  <c r="L193" i="6" s="1"/>
  <c r="L165" i="6"/>
  <c r="L182" i="6"/>
  <c r="L195" i="6"/>
  <c r="L185" i="6" s="1"/>
  <c r="J190" i="6"/>
  <c r="J191" i="6"/>
  <c r="K102" i="6"/>
  <c r="K101" i="6"/>
  <c r="N166" i="6"/>
  <c r="N164" i="6" s="1"/>
  <c r="M164" i="6"/>
  <c r="M83" i="6"/>
  <c r="N85" i="6"/>
  <c r="N83" i="6" s="1"/>
  <c r="L22" i="6"/>
  <c r="L35" i="6"/>
  <c r="L48" i="6"/>
  <c r="L3" i="6"/>
  <c r="L4" i="6" s="1"/>
  <c r="L45" i="6"/>
  <c r="K104" i="6"/>
  <c r="K98" i="6"/>
  <c r="K4" i="6"/>
  <c r="J46" i="6"/>
  <c r="J14" i="6"/>
  <c r="M211" i="6"/>
  <c r="M212" i="6" s="1"/>
  <c r="M201" i="6"/>
  <c r="M214" i="6"/>
  <c r="N199" i="6"/>
  <c r="M200" i="6"/>
  <c r="N41" i="6"/>
  <c r="J155" i="6"/>
  <c r="J156" i="6"/>
  <c r="K17" i="6"/>
  <c r="K38" i="6"/>
  <c r="K42" i="6" s="1"/>
  <c r="N120" i="6"/>
  <c r="N114" i="6" s="1"/>
  <c r="J36" i="6"/>
  <c r="J5" i="6"/>
  <c r="K189" i="6"/>
  <c r="K183" i="6"/>
  <c r="L69" i="6"/>
  <c r="M72" i="6"/>
  <c r="M52" i="6"/>
  <c r="N54" i="6"/>
  <c r="N52" i="6" s="1"/>
  <c r="L202" i="6"/>
  <c r="K73" i="6"/>
  <c r="K67" i="6"/>
  <c r="K129" i="6"/>
  <c r="K135" i="6"/>
  <c r="K132" i="6"/>
  <c r="K133" i="6"/>
  <c r="J17" i="6"/>
  <c r="J38" i="6"/>
  <c r="J42" i="6" s="1"/>
  <c r="K205" i="6"/>
  <c r="K206" i="6"/>
  <c r="K208" i="6"/>
  <c r="K36" i="6"/>
  <c r="K5" i="6"/>
  <c r="J105" i="6"/>
  <c r="J106" i="6"/>
  <c r="M114" i="6"/>
  <c r="C7" i="6"/>
  <c r="K71" i="6"/>
  <c r="K70" i="6"/>
  <c r="L53" i="6"/>
  <c r="L79" i="6"/>
  <c r="L66" i="6"/>
  <c r="L76" i="6"/>
  <c r="L77" i="6" s="1"/>
  <c r="K10" i="8" l="1"/>
  <c r="K11" i="8" s="1"/>
  <c r="K12" i="8" s="1"/>
  <c r="K58" i="8"/>
  <c r="M151" i="6"/>
  <c r="M152" i="6"/>
  <c r="N138" i="6"/>
  <c r="N115" i="6"/>
  <c r="N141" i="6"/>
  <c r="N128" i="6"/>
  <c r="L187" i="6"/>
  <c r="L186" i="6"/>
  <c r="J19" i="6"/>
  <c r="J18" i="6"/>
  <c r="N110" i="6"/>
  <c r="N97" i="6"/>
  <c r="N84" i="6"/>
  <c r="N107" i="6"/>
  <c r="N103" i="6"/>
  <c r="N100" i="6" s="1"/>
  <c r="M100" i="6"/>
  <c r="L206" i="6"/>
  <c r="L205" i="6"/>
  <c r="L67" i="6"/>
  <c r="L73" i="6"/>
  <c r="N53" i="6"/>
  <c r="N66" i="6"/>
  <c r="N79" i="6"/>
  <c r="N76" i="6"/>
  <c r="N77" i="6" s="1"/>
  <c r="J43" i="6"/>
  <c r="J44" i="6"/>
  <c r="M97" i="6"/>
  <c r="M110" i="6"/>
  <c r="M84" i="6"/>
  <c r="M107" i="6"/>
  <c r="M108" i="6" s="1"/>
  <c r="L183" i="6"/>
  <c r="L189" i="6"/>
  <c r="L101" i="6"/>
  <c r="L102" i="6"/>
  <c r="L132" i="6"/>
  <c r="L133" i="6"/>
  <c r="K155" i="6"/>
  <c r="K156" i="6"/>
  <c r="L104" i="6"/>
  <c r="L98" i="6"/>
  <c r="M202" i="6"/>
  <c r="K7" i="6"/>
  <c r="K6" i="6"/>
  <c r="M53" i="6"/>
  <c r="M79" i="6"/>
  <c r="M66" i="6"/>
  <c r="M76" i="6"/>
  <c r="M77" i="6" s="1"/>
  <c r="N200" i="6"/>
  <c r="N214" i="6"/>
  <c r="N211" i="6"/>
  <c r="N212" i="6" s="1"/>
  <c r="N201" i="6"/>
  <c r="K106" i="6"/>
  <c r="K105" i="6"/>
  <c r="M182" i="6"/>
  <c r="M195" i="6"/>
  <c r="M185" i="6" s="1"/>
  <c r="M165" i="6"/>
  <c r="M192" i="6"/>
  <c r="M193" i="6" s="1"/>
  <c r="M149" i="6"/>
  <c r="L147" i="6"/>
  <c r="L154" i="6" s="1"/>
  <c r="N157" i="6"/>
  <c r="N158" i="6" s="1"/>
  <c r="N160" i="6"/>
  <c r="N150" i="6" s="1"/>
  <c r="L71" i="6"/>
  <c r="L70" i="6"/>
  <c r="K43" i="6"/>
  <c r="K44" i="6"/>
  <c r="K137" i="6"/>
  <c r="K136" i="6"/>
  <c r="N72" i="6"/>
  <c r="M69" i="6"/>
  <c r="K40" i="6"/>
  <c r="K8" i="6"/>
  <c r="K11" i="6" s="1"/>
  <c r="K39" i="6"/>
  <c r="L46" i="6"/>
  <c r="L14" i="6"/>
  <c r="N165" i="6"/>
  <c r="N192" i="6"/>
  <c r="N193" i="6" s="1"/>
  <c r="N182" i="6"/>
  <c r="N195" i="6"/>
  <c r="L129" i="6"/>
  <c r="L135" i="6"/>
  <c r="L17" i="6"/>
  <c r="L38" i="6"/>
  <c r="N188" i="6"/>
  <c r="N131" i="6"/>
  <c r="N3" i="6"/>
  <c r="N22" i="6"/>
  <c r="N45" i="6"/>
  <c r="N48" i="6"/>
  <c r="N35" i="6"/>
  <c r="K18" i="6"/>
  <c r="K19" i="6"/>
  <c r="M115" i="6"/>
  <c r="M141" i="6"/>
  <c r="M131" i="6" s="1"/>
  <c r="M128" i="6"/>
  <c r="M138" i="6"/>
  <c r="M139" i="6" s="1"/>
  <c r="K75" i="6"/>
  <c r="K74" i="6"/>
  <c r="K190" i="6"/>
  <c r="K191" i="6"/>
  <c r="J15" i="6"/>
  <c r="J16" i="6"/>
  <c r="L36" i="6"/>
  <c r="K209" i="6"/>
  <c r="K210" i="6"/>
  <c r="M22" i="6"/>
  <c r="M35" i="6"/>
  <c r="M3" i="6"/>
  <c r="M4" i="6" s="1"/>
  <c r="M48" i="6"/>
  <c r="M45" i="6"/>
  <c r="J40" i="6"/>
  <c r="J8" i="6"/>
  <c r="J39" i="6"/>
  <c r="L208" i="6"/>
  <c r="J7" i="6"/>
  <c r="J6" i="6"/>
  <c r="N38" i="6"/>
  <c r="M204" i="6"/>
  <c r="N207" i="6"/>
  <c r="N204" i="6" s="1"/>
  <c r="K15" i="6"/>
  <c r="K16" i="6"/>
  <c r="K14" i="8" l="1"/>
  <c r="K48" i="8"/>
  <c r="K49" i="8" s="1"/>
  <c r="N69" i="6"/>
  <c r="N185" i="6"/>
  <c r="N151" i="6"/>
  <c r="N152" i="6"/>
  <c r="M70" i="6"/>
  <c r="M71" i="6"/>
  <c r="M67" i="6"/>
  <c r="M73" i="6"/>
  <c r="L190" i="6"/>
  <c r="L191" i="6"/>
  <c r="L106" i="6"/>
  <c r="L105" i="6"/>
  <c r="N67" i="6"/>
  <c r="N73" i="6"/>
  <c r="L40" i="6"/>
  <c r="L8" i="6"/>
  <c r="L39" i="6"/>
  <c r="M46" i="6"/>
  <c r="M14" i="6"/>
  <c r="L42" i="6"/>
  <c r="N17" i="6"/>
  <c r="L18" i="6"/>
  <c r="L19" i="6"/>
  <c r="N149" i="6"/>
  <c r="N147" i="6" s="1"/>
  <c r="N154" i="6" s="1"/>
  <c r="M147" i="6"/>
  <c r="M154" i="6" s="1"/>
  <c r="L74" i="6"/>
  <c r="L75" i="6"/>
  <c r="N98" i="6"/>
  <c r="N104" i="6"/>
  <c r="L210" i="6"/>
  <c r="L209" i="6"/>
  <c r="N132" i="6"/>
  <c r="N133" i="6"/>
  <c r="M183" i="6"/>
  <c r="M189" i="6"/>
  <c r="M102" i="6"/>
  <c r="M101" i="6"/>
  <c r="N70" i="6"/>
  <c r="N71" i="6"/>
  <c r="M205" i="6"/>
  <c r="M206" i="6"/>
  <c r="L15" i="6"/>
  <c r="L16" i="6"/>
  <c r="K13" i="6"/>
  <c r="L137" i="6"/>
  <c r="L136" i="6"/>
  <c r="M98" i="6"/>
  <c r="M104" i="6"/>
  <c r="N139" i="6"/>
  <c r="N101" i="6"/>
  <c r="N102" i="6"/>
  <c r="J9" i="6"/>
  <c r="J10" i="6"/>
  <c r="M187" i="6"/>
  <c r="M186" i="6"/>
  <c r="N108" i="6"/>
  <c r="N208" i="6"/>
  <c r="N202" i="6"/>
  <c r="K10" i="6"/>
  <c r="K9" i="6"/>
  <c r="N183" i="6"/>
  <c r="N189" i="6"/>
  <c r="N186" i="6"/>
  <c r="N187" i="6"/>
  <c r="N206" i="6"/>
  <c r="N205" i="6"/>
  <c r="N135" i="6"/>
  <c r="N129" i="6"/>
  <c r="N42" i="6"/>
  <c r="N36" i="6"/>
  <c r="L156" i="6"/>
  <c r="L155" i="6"/>
  <c r="N8" i="6"/>
  <c r="N40" i="6"/>
  <c r="J11" i="6"/>
  <c r="M17" i="6"/>
  <c r="M38" i="6"/>
  <c r="N39" i="6" s="1"/>
  <c r="N46" i="6"/>
  <c r="N14" i="6"/>
  <c r="L5" i="6"/>
  <c r="M135" i="6"/>
  <c r="M129" i="6"/>
  <c r="M208" i="6"/>
  <c r="M5" i="6"/>
  <c r="M36" i="6"/>
  <c r="M42" i="6"/>
  <c r="M132" i="6"/>
  <c r="M133" i="6"/>
  <c r="N4" i="6"/>
  <c r="K54" i="8" l="1"/>
  <c r="K52" i="8"/>
  <c r="K16" i="8"/>
  <c r="K17" i="8" s="1"/>
  <c r="N5" i="6"/>
  <c r="M156" i="6"/>
  <c r="M155" i="6"/>
  <c r="M8" i="6"/>
  <c r="M11" i="6" s="1"/>
  <c r="M39" i="6"/>
  <c r="M40" i="6"/>
  <c r="N155" i="6"/>
  <c r="N156" i="6"/>
  <c r="L10" i="6"/>
  <c r="L9" i="6"/>
  <c r="M74" i="6"/>
  <c r="M75" i="6"/>
  <c r="N210" i="6"/>
  <c r="N209" i="6"/>
  <c r="M106" i="6"/>
  <c r="M105" i="6"/>
  <c r="N11" i="6"/>
  <c r="N7" i="6"/>
  <c r="N6" i="6"/>
  <c r="N191" i="6"/>
  <c r="N190" i="6"/>
  <c r="N16" i="6"/>
  <c r="N15" i="6"/>
  <c r="M44" i="6"/>
  <c r="M43" i="6"/>
  <c r="J12" i="6"/>
  <c r="J13" i="6"/>
  <c r="N44" i="6"/>
  <c r="N43" i="6"/>
  <c r="N75" i="6"/>
  <c r="N74" i="6"/>
  <c r="M7" i="6"/>
  <c r="M6" i="6"/>
  <c r="N105" i="6"/>
  <c r="N106" i="6"/>
  <c r="N19" i="6"/>
  <c r="N18" i="6"/>
  <c r="M210" i="6"/>
  <c r="M209" i="6"/>
  <c r="M137" i="6"/>
  <c r="M136" i="6"/>
  <c r="M18" i="6"/>
  <c r="M19" i="6"/>
  <c r="N136" i="6"/>
  <c r="N137" i="6"/>
  <c r="K12" i="6"/>
  <c r="L44" i="6"/>
  <c r="L43" i="6"/>
  <c r="L7" i="6"/>
  <c r="L6" i="6"/>
  <c r="L11" i="6"/>
  <c r="N10" i="6"/>
  <c r="N9" i="6"/>
  <c r="M191" i="6"/>
  <c r="M190" i="6"/>
  <c r="M16" i="6"/>
  <c r="M15" i="6"/>
  <c r="K18" i="8" l="1"/>
  <c r="K61" i="8"/>
  <c r="L13" i="6"/>
  <c r="L12" i="6"/>
  <c r="M10" i="6"/>
  <c r="M9" i="6"/>
  <c r="N13" i="6"/>
  <c r="N12" i="6"/>
  <c r="M13" i="6"/>
  <c r="M12" i="6"/>
  <c r="K64" i="8" l="1"/>
  <c r="K66" i="8" s="1"/>
  <c r="K68" i="8" s="1"/>
  <c r="K41" i="8"/>
  <c r="K39" i="8" l="1"/>
  <c r="K43" i="8" s="1"/>
  <c r="K21" i="8"/>
  <c r="K31" i="8" s="1"/>
  <c r="L67" i="8"/>
  <c r="L50" i="8" s="1"/>
  <c r="L10" i="8" l="1"/>
  <c r="L11" i="8" s="1"/>
  <c r="L12" i="8" s="1"/>
  <c r="L58" i="8"/>
  <c r="L14" i="8" l="1"/>
  <c r="L48" i="8"/>
  <c r="L49" i="8" s="1"/>
  <c r="L54" i="8" l="1"/>
  <c r="L52" i="8"/>
  <c r="L16" i="8"/>
  <c r="L17" i="8" s="1"/>
  <c r="L61" i="8" l="1"/>
  <c r="L18" i="8"/>
  <c r="L64" i="8" l="1"/>
  <c r="L66" i="8" s="1"/>
  <c r="L68" i="8" s="1"/>
  <c r="L41" i="8"/>
  <c r="L39" i="8" l="1"/>
  <c r="L43" i="8" s="1"/>
  <c r="M67" i="8"/>
  <c r="M50" i="8" s="1"/>
  <c r="L21" i="8"/>
  <c r="L31" i="8" s="1"/>
  <c r="M10" i="8" l="1"/>
  <c r="M11" i="8" s="1"/>
  <c r="M12" i="8" s="1"/>
  <c r="M58" i="8"/>
  <c r="M14" i="8" l="1"/>
  <c r="M48" i="8"/>
  <c r="M49" i="8" s="1"/>
  <c r="M54" i="8" l="1"/>
  <c r="M52" i="8"/>
  <c r="M16" i="8"/>
  <c r="M17" i="8" s="1"/>
  <c r="M18" i="8" l="1"/>
  <c r="M61" i="8"/>
  <c r="M64" i="8" l="1"/>
  <c r="M66" i="8" s="1"/>
  <c r="M68" i="8" s="1"/>
  <c r="M41" i="8"/>
  <c r="M39" i="8" l="1"/>
  <c r="M43" i="8" s="1"/>
  <c r="M21" i="8"/>
  <c r="M31" i="8" s="1"/>
  <c r="N67" i="8"/>
  <c r="N50" i="8" s="1"/>
  <c r="N10" i="8" l="1"/>
  <c r="N11" i="8" s="1"/>
  <c r="N12" i="8" s="1"/>
  <c r="N58" i="8"/>
  <c r="N14" i="8" l="1"/>
  <c r="N48" i="8"/>
  <c r="N49" i="8" s="1"/>
  <c r="N54" i="8" l="1"/>
  <c r="N52" i="8"/>
  <c r="N16" i="8"/>
  <c r="N17" i="8" s="1"/>
  <c r="N18" i="8" l="1"/>
  <c r="N61" i="8"/>
  <c r="N64" i="8" l="1"/>
  <c r="N66" i="8" s="1"/>
  <c r="N68" i="8" s="1"/>
  <c r="N21" i="8" s="1"/>
  <c r="N31" i="8" s="1"/>
  <c r="N41" i="8"/>
  <c r="N39" i="8" s="1"/>
  <c r="N4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<sst xmlns="http://schemas.openxmlformats.org/spreadsheetml/2006/main" count="493" uniqueCount="216">
  <si>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</si>
  <si>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</si>
  <si>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</si>
  <si>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</si>
  <si>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</si>
  <si>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</si>
  <si>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</si>
  <si>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</si>
  <si>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</si>
  <si>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</si>
  <si>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</si>
  <si>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</si>
  <si>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</si>
  <si>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</si>
  <si>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</si>
  <si>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</si>
  <si>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</si>
  <si>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</si>
  <si>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</si>
  <si>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</si>
  <si>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</si>
  <si>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</si>
  <si>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</si>
  <si>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</si>
  <si>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</si>
  <si>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</si>
  <si>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</si>
  <si>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</si>
  <si>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</si>
  <si>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</si>
  <si>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</si>
  <si>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</si>
  <si>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</si>
  <si>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</si>
  <si>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</si>
  <si>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</si>
  <si>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</si>
  <si>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</si>
  <si>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</si>
  <si>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</si>
  <si>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</si>
  <si>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</si>
  <si>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</si>
  <si>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</si>
  <si>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</si>
  <si>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</si>
  <si>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</si>
  <si>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</si>
  <si>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</si>
  <si>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</si>
  <si>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</si>
  <si>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</si>
  <si>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</si>
  <si>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</si>
  <si>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</si>
  <si>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</si>
  <si>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</si>
  <si>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</si>
  <si>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</si>
  <si>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</si>
  <si>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</si>
  <si>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</si>
  <si>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</si>
  <si>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</si>
  <si>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</si>
  <si>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</si>
  <si>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</si>
  <si>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</si>
  <si>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</si>
  <si>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</si>
  <si>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</si>
  <si>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</si>
  <si>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</si>
  <si>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</si>
  <si>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</si>
  <si>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</si>
  <si>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</si>
  <si>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</si>
  <si>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</si>
  <si>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</si>
  <si>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</si>
  <si>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</si>
  <si>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</si>
  <si>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</si>
  <si>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</si>
  <si>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</si>
  <si>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</si>
  <si>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</si>
  <si>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</si>
  <si>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</si>
  <si>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</si>
  <si>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</si>
  <si>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</si>
  <si>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</si>
  <si>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</si>
  <si>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</si>
  <si>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</si>
  <si>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</si>
  <si>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</si>
  <si>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</si>
  <si>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</si>
  <si>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</si>
  <si>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</si>
  <si>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</si>
  <si>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</si>
  <si>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</si>
  <si>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</si>
  <si>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</si>
  <si>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</si>
  <si>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</si>
  <si>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</si>
  <si>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</si>
  <si>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</si>
  <si>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</si>
  <si>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</si>
  <si>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</si>
  <si>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</si>
  <si>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</si>
  <si>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</si>
  <si>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</si>
  <si>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</si>
  <si>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</si>
  <si>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</si>
  <si>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</si>
  <si>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</si>
  <si>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</si>
  <si>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</si>
  <si>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</si>
  <si>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</si>
  <si>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</si>
  <si>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</si>
  <si>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</si>
  <si>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</si>
  <si>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</si>
  <si>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</si>
  <si>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</si>
  <si>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</si>
  <si>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</si>
  <si>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</si>
  <si>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</si>
  <si>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</si>
  <si>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</si>
  <si>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</si>
  <si>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</si>
  <si>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</si>
  <si>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</si>
  <si>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</si>
  <si>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</si>
  <si>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</si>
  <si>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</si>
  <si>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</si>
  <si>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</si>
  <si>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</si>
  <si>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</si>
  <si>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</si>
  <si>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</si>
  <si>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</si>
  <si>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</si>
  <si>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</si>
  <si>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</si>
  <si>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</si>
  <si>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</si>
  <si>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</si>
  <si>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</si>
  <si>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</si>
  <si>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</si>
  <si>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</si>
  <si>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</si>
  <si>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</si>
  <si>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</si>
  <si>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</si>
  <si>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</si>
  <si>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</si>
  <si>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</si>
  <si>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</si>
  <si>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</si>
  <si>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</si>
  <si>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</si>
  <si>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</si>
  <si>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</si>
  <si>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</si>
  <si>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</si>
  <si>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</si>
  <si>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</si>
  <si>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</si>
  <si>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</si>
  <si>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</si>
  <si>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</si>
  <si>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</si>
  <si>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</si>
  <si>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</si>
  <si>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</si>
  <si>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</si>
  <si>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</si>
  <si>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</si>
  <si>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</si>
  <si>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</si>
  <si>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Long-term debt payments, including current portion</t>
  </si>
  <si>
    <t>Disposal of property, plant and equipment</t>
  </si>
  <si>
    <t>Investments in reverse repurchase agreements</t>
  </si>
  <si>
    <t xml:space="preserve"> As a  % of revenue </t>
  </si>
  <si>
    <t xml:space="preserve"> Growth % </t>
  </si>
  <si>
    <t xml:space="preserve"> Capex </t>
  </si>
  <si>
    <t xml:space="preserve"> Margin % </t>
  </si>
  <si>
    <t xml:space="preserve"> EBIT </t>
  </si>
  <si>
    <t xml:space="preserve"> D&amp;A </t>
  </si>
  <si>
    <t xml:space="preserve"> EBITDA </t>
  </si>
  <si>
    <t xml:space="preserve"> Revenue </t>
  </si>
  <si>
    <t>CORPORATE</t>
  </si>
  <si>
    <t xml:space="preserve"> Currency impact % </t>
  </si>
  <si>
    <t xml:space="preserve"> Organic growth % </t>
  </si>
  <si>
    <t>nm</t>
  </si>
  <si>
    <t xml:space="preserve"> Equipment </t>
  </si>
  <si>
    <t xml:space="preserve"> Apparel </t>
  </si>
  <si>
    <t xml:space="preserve"> Footwear </t>
  </si>
  <si>
    <t>Excess tax benefits from share-based payment arrangements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</si>
</sst>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0" fontId="0" fillId="0" borderId="0" xfId="0" applyNumberFormat="1"/>
    <xf numFmtId="10" fontId="2" fillId="0" borderId="0" xfId="1" applyNumberFormat="1" applyFont="1" applyFill="1" applyBorder="1"/>
    <xf numFmtId="10" fontId="0" fillId="0" borderId="0" xfId="1" applyNumberFormat="1" applyFont="1"/>
    <xf numFmtId="165" fontId="16" fillId="0" borderId="0" xfId="0" applyNumberFormat="1" applyFont="1"/>
    <xf numFmtId="165" fontId="2" fillId="0" borderId="0" xfId="1" applyNumberFormat="1" applyFont="1" applyFill="1" applyBorder="1"/>
    <xf numFmtId="166" fontId="0" fillId="0" borderId="0" xfId="0" applyNumberFormat="1"/>
    <xf numFmtId="166" fontId="17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left" indent="1"/>
    </xf>
    <xf numFmtId="165" fontId="19" fillId="0" borderId="0" xfId="0" applyNumberFormat="1" applyFont="1"/>
    <xf numFmtId="165" fontId="18" fillId="0" borderId="0" xfId="0" applyNumberFormat="1" applyFont="1" applyAlignment="1">
      <alignment horizontal="left" indent="2"/>
    </xf>
    <xf numFmtId="0" fontId="17" fillId="0" borderId="0" xfId="0" applyFont="1" applyAlignment="1">
      <alignment horizontal="right"/>
    </xf>
    <xf numFmtId="165" fontId="16" fillId="0" borderId="0" xfId="0" applyNumberFormat="1" applyFont="1" applyAlignment="1">
      <alignment horizontal="left" indent="1"/>
    </xf>
    <xf numFmtId="165" fontId="20" fillId="0" borderId="0" xfId="1" applyNumberFormat="1" applyFont="1" applyAlignment="1">
      <alignment horizontal="left" indent="1"/>
    </xf>
    <xf numFmtId="0" fontId="11" fillId="0" borderId="0" xfId="2" applyNumberFormat="1" applyFont="1" applyAlignment="1">
      <alignment horizontal="right"/>
    </xf>
    <xf numFmtId="165" fontId="0" fillId="0" borderId="0" xfId="1" applyNumberFormat="1" applyFont="1" applyFill="1"/>
    <xf numFmtId="10" fontId="13" fillId="0" borderId="0" xfId="2" applyNumberFormat="1" applyFont="1" applyAlignment="1">
      <alignment horizontal="right"/>
    </xf>
    <xf numFmtId="165" fontId="2" fillId="0" borderId="4" xfId="1" applyNumberFormat="1" applyFont="1" applyFill="1" applyBorder="1"/>
    <xf numFmtId="165" fontId="0" fillId="8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85546875"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195</v>
      </c>
    </row>
    <row r="3" spans="1:1" x14ac:dyDescent="0.25">
      <c r="A3" s="38" t="s">
        <v>194</v>
      </c>
    </row>
    <row r="4" spans="1:1" x14ac:dyDescent="0.25">
      <c r="A4" s="19" t="s">
        <v>196</v>
      </c>
    </row>
    <row r="5" spans="1:1" x14ac:dyDescent="0.25">
      <c r="A5" s="38"/>
    </row>
    <row r="6" spans="1:1" x14ac:dyDescent="0.25">
      <c r="A6" s="38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7B44A-FBF2-6F40-A8B4-ACE668AE9F3D}">
  <dimension ref="A1:L208"/>
  <sheetViews>
    <sheetView tabSelected="1" workbookViewId="0">
      <pane ySplit="1" topLeftCell="A23" activePane="bottomLeft" state="frozen"/>
      <selection pane="bottomLeft" activeCell="N38" sqref="N38"/>
    </sheetView>
  </sheetViews>
  <sheetFormatPr defaultColWidth="8.85546875" defaultRowHeight="15" x14ac:dyDescent="0.25"/>
  <cols>
    <col min="1" max="1" width="99.8554687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I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I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 t="shared" si="6"/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4886</v>
      </c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280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I36" si="7">+SUM(B30:B35)</f>
        <v>21596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31362</v>
      </c>
      <c r="H36" s="7">
        <f t="shared" si="7"/>
        <v>37740</v>
      </c>
      <c r="I36" s="7">
        <f t="shared" si="7"/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/>
      <c r="I44" s="3">
        <v>222</v>
      </c>
    </row>
    <row r="45" spans="1:9" x14ac:dyDescent="0.25">
      <c r="A45" s="4" t="s">
        <v>13</v>
      </c>
      <c r="B45" s="5">
        <f t="shared" ref="B45:I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9368</v>
      </c>
      <c r="I45" s="5">
        <f t="shared" si="8"/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1479</v>
      </c>
      <c r="C47" s="3">
        <v>1770</v>
      </c>
      <c r="D47" s="3">
        <v>1907</v>
      </c>
      <c r="E47" s="3">
        <v>3216</v>
      </c>
      <c r="F47" s="3"/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/>
      <c r="C48" s="3"/>
      <c r="D48" s="3"/>
      <c r="E48" s="3"/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I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 t="shared" si="9"/>
        <v>15281</v>
      </c>
    </row>
    <row r="59" spans="1:9" ht="15.75" thickBot="1" x14ac:dyDescent="0.3">
      <c r="A59" s="6" t="s">
        <v>62</v>
      </c>
      <c r="B59" s="7">
        <f t="shared" ref="B59:I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37434</v>
      </c>
      <c r="I59" s="7">
        <f t="shared" si="10"/>
        <v>40321</v>
      </c>
    </row>
    <row r="60" spans="1:9" s="12" customFormat="1" ht="15.75" thickTop="1" x14ac:dyDescent="0.25">
      <c r="A60" s="12" t="s">
        <v>3</v>
      </c>
      <c r="B60" s="13">
        <f t="shared" ref="B60:I60" si="11">+B59-B36</f>
        <v>1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-20</v>
      </c>
      <c r="H60" s="13">
        <f t="shared" si="11"/>
        <v>-306</v>
      </c>
      <c r="I60" s="13">
        <f t="shared" si="11"/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I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 t="shared" si="12"/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199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5">
      <c r="A83" s="2" t="s">
        <v>198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25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I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x14ac:dyDescent="0.25">
      <c r="A88" s="2" t="s">
        <v>197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</row>
    <row r="89" spans="1:9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>
        <v>-197</v>
      </c>
      <c r="I90" s="3">
        <v>0</v>
      </c>
    </row>
    <row r="91" spans="1:9" x14ac:dyDescent="0.25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5">
      <c r="A92" s="2" t="s">
        <v>215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5">
      <c r="A93" s="2" t="s">
        <v>16</v>
      </c>
      <c r="B93" s="3">
        <v>218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5">
      <c r="A94" s="2" t="s">
        <v>86</v>
      </c>
      <c r="B94" s="3">
        <v>-2534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5">
      <c r="A95" s="2" t="s">
        <v>87</v>
      </c>
      <c r="B95" s="3">
        <v>-899</v>
      </c>
      <c r="C95" s="3">
        <v>-22</v>
      </c>
      <c r="D95" s="3">
        <v>-29</v>
      </c>
      <c r="E95" s="3">
        <v>-55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5">
      <c r="A96" s="27" t="s">
        <v>88</v>
      </c>
      <c r="B96" s="26">
        <f t="shared" ref="B96:I96" si="14">+SUM(B87:B95)</f>
        <v>-2572</v>
      </c>
      <c r="C96" s="26">
        <f t="shared" si="14"/>
        <v>-2693</v>
      </c>
      <c r="D96" s="26">
        <f t="shared" si="14"/>
        <v>-1971</v>
      </c>
      <c r="E96" s="26">
        <f t="shared" si="14"/>
        <v>-4835</v>
      </c>
      <c r="F96" s="26">
        <f t="shared" si="14"/>
        <v>-5293</v>
      </c>
      <c r="G96" s="26">
        <f t="shared" si="14"/>
        <v>2491</v>
      </c>
      <c r="H96" s="26">
        <f t="shared" si="14"/>
        <v>-1459</v>
      </c>
      <c r="I96" s="26">
        <f t="shared" si="14"/>
        <v>-4836</v>
      </c>
    </row>
    <row r="97" spans="1:9" x14ac:dyDescent="0.25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5">
      <c r="A98" s="27" t="s">
        <v>90</v>
      </c>
      <c r="B98" s="26">
        <f t="shared" ref="B98:I98" si="15">+B76+B85+B96+B97</f>
        <v>1850</v>
      </c>
      <c r="C98" s="26">
        <f t="shared" si="15"/>
        <v>-736</v>
      </c>
      <c r="D98" s="26">
        <f t="shared" si="15"/>
        <v>847</v>
      </c>
      <c r="E98" s="26">
        <f t="shared" si="15"/>
        <v>441</v>
      </c>
      <c r="F98" s="26">
        <f t="shared" si="15"/>
        <v>217</v>
      </c>
      <c r="G98" s="26">
        <f t="shared" si="15"/>
        <v>3882</v>
      </c>
      <c r="H98" s="26">
        <f t="shared" si="15"/>
        <v>1541</v>
      </c>
      <c r="I98" s="26">
        <f t="shared" si="15"/>
        <v>-1315</v>
      </c>
    </row>
    <row r="99" spans="1:9" x14ac:dyDescent="0.25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.75" thickBot="1" x14ac:dyDescent="0.3">
      <c r="A100" s="6" t="s">
        <v>92</v>
      </c>
      <c r="B100" s="7">
        <v>3852</v>
      </c>
      <c r="C100" s="7">
        <v>3138</v>
      </c>
      <c r="D100" s="7">
        <v>3808</v>
      </c>
      <c r="E100" s="7">
        <v>4249</v>
      </c>
      <c r="F100" s="7">
        <v>4466</v>
      </c>
      <c r="G100" s="7">
        <v>8348</v>
      </c>
      <c r="H100" s="7">
        <f>+H98+H99</f>
        <v>9889</v>
      </c>
      <c r="I100" s="7">
        <f>+I98+I99</f>
        <v>8574</v>
      </c>
    </row>
    <row r="101" spans="1:9" s="12" customFormat="1" ht="15.75" thickTop="1" x14ac:dyDescent="0.25">
      <c r="A101" s="12" t="s">
        <v>19</v>
      </c>
      <c r="B101" s="13">
        <f t="shared" ref="B101:I101" si="16">+B100-B25</f>
        <v>0</v>
      </c>
      <c r="C101" s="13">
        <f t="shared" si="16"/>
        <v>0</v>
      </c>
      <c r="D101" s="13">
        <f t="shared" si="16"/>
        <v>0</v>
      </c>
      <c r="E101" s="13">
        <f t="shared" si="16"/>
        <v>0</v>
      </c>
      <c r="F101" s="13">
        <f t="shared" si="16"/>
        <v>0</v>
      </c>
      <c r="G101" s="13">
        <f t="shared" si="16"/>
        <v>0</v>
      </c>
      <c r="H101" s="13">
        <f t="shared" si="16"/>
        <v>0</v>
      </c>
      <c r="I101" s="13">
        <f t="shared" si="16"/>
        <v>0</v>
      </c>
    </row>
    <row r="102" spans="1:9" x14ac:dyDescent="0.25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11" t="s">
        <v>94</v>
      </c>
      <c r="B104" s="63">
        <v>53</v>
      </c>
      <c r="C104" s="63">
        <v>70</v>
      </c>
      <c r="D104" s="63">
        <v>98</v>
      </c>
      <c r="E104" s="63">
        <v>125</v>
      </c>
      <c r="F104" s="63">
        <v>153</v>
      </c>
      <c r="G104" s="63">
        <v>140</v>
      </c>
      <c r="H104" s="3">
        <v>293</v>
      </c>
      <c r="I104" s="3">
        <v>290</v>
      </c>
    </row>
    <row r="105" spans="1:9" x14ac:dyDescent="0.25">
      <c r="A105" s="11" t="s">
        <v>18</v>
      </c>
      <c r="B105" s="63">
        <v>1262</v>
      </c>
      <c r="C105" s="63">
        <v>748</v>
      </c>
      <c r="D105" s="63">
        <v>703</v>
      </c>
      <c r="E105" s="63">
        <v>529</v>
      </c>
      <c r="F105" s="63">
        <v>757</v>
      </c>
      <c r="G105" s="63">
        <v>1028</v>
      </c>
      <c r="H105" s="3">
        <v>1177</v>
      </c>
      <c r="I105" s="3">
        <v>1231</v>
      </c>
    </row>
    <row r="106" spans="1:9" x14ac:dyDescent="0.25">
      <c r="A106" s="11" t="s">
        <v>95</v>
      </c>
      <c r="B106" s="63">
        <v>206</v>
      </c>
      <c r="C106" s="63">
        <v>252</v>
      </c>
      <c r="D106" s="63">
        <v>266</v>
      </c>
      <c r="E106" s="63">
        <v>294</v>
      </c>
      <c r="F106" s="63">
        <v>160</v>
      </c>
      <c r="G106" s="63">
        <v>121</v>
      </c>
      <c r="H106" s="3">
        <v>179</v>
      </c>
      <c r="I106" s="3">
        <v>160</v>
      </c>
    </row>
    <row r="107" spans="1:9" x14ac:dyDescent="0.25">
      <c r="A107" s="11" t="s">
        <v>96</v>
      </c>
      <c r="B107" s="63">
        <v>240</v>
      </c>
      <c r="C107" s="63">
        <v>271</v>
      </c>
      <c r="D107" s="63">
        <v>300</v>
      </c>
      <c r="E107" s="63">
        <v>320</v>
      </c>
      <c r="F107" s="63">
        <v>347</v>
      </c>
      <c r="G107" s="63">
        <v>385</v>
      </c>
      <c r="H107" s="3">
        <v>438</v>
      </c>
      <c r="I107" s="3">
        <v>480</v>
      </c>
    </row>
    <row r="109" spans="1:9" x14ac:dyDescent="0.2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5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5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>+SUM(H112:H114)</f>
        <v>17179</v>
      </c>
      <c r="I111" s="3">
        <f>+SUM(I112:I114)</f>
        <v>18353</v>
      </c>
    </row>
    <row r="112" spans="1:9" x14ac:dyDescent="0.25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11" x14ac:dyDescent="0.25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11" x14ac:dyDescent="0.25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11" x14ac:dyDescent="0.25">
      <c r="A115" s="2" t="s">
        <v>101</v>
      </c>
      <c r="B115" s="3">
        <f>B116+B118+B117</f>
        <v>11024</v>
      </c>
      <c r="C115" s="3">
        <v>7568</v>
      </c>
      <c r="D115" s="3">
        <v>7970</v>
      </c>
      <c r="E115" s="3">
        <v>9242</v>
      </c>
      <c r="F115" s="3">
        <v>9812</v>
      </c>
      <c r="G115" s="3">
        <v>9347</v>
      </c>
      <c r="H115" s="3">
        <f>+SUM(H116:H118)</f>
        <v>11456</v>
      </c>
      <c r="I115" s="3">
        <f>+SUM(I116:I118)</f>
        <v>12479</v>
      </c>
    </row>
    <row r="116" spans="1:11" x14ac:dyDescent="0.25">
      <c r="A116" s="11" t="s">
        <v>113</v>
      </c>
      <c r="B116">
        <f>3876+827+2641</f>
        <v>7344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11" x14ac:dyDescent="0.25">
      <c r="A117" s="11" t="s">
        <v>114</v>
      </c>
      <c r="B117">
        <f>1552+499+1021</f>
        <v>3072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11" x14ac:dyDescent="0.25">
      <c r="A118" s="11" t="s">
        <v>115</v>
      </c>
      <c r="B118">
        <f>95+277+236</f>
        <v>608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11" x14ac:dyDescent="0.25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>+SUM(H120:H122)</f>
        <v>8290</v>
      </c>
      <c r="I119" s="3">
        <f>+SUM(I120:I122)</f>
        <v>7547</v>
      </c>
    </row>
    <row r="120" spans="1:11" x14ac:dyDescent="0.25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11" x14ac:dyDescent="0.25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11" x14ac:dyDescent="0.25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11" x14ac:dyDescent="0.25">
      <c r="A123" s="2" t="s">
        <v>106</v>
      </c>
      <c r="B123" s="3">
        <v>755</v>
      </c>
      <c r="C123" s="3">
        <v>4317</v>
      </c>
      <c r="D123" s="3">
        <v>4737</v>
      </c>
      <c r="E123" s="3">
        <v>5166</v>
      </c>
      <c r="F123" s="3">
        <v>5254</v>
      </c>
      <c r="G123" s="3">
        <v>5028</v>
      </c>
      <c r="H123" s="3">
        <f>+SUM(H124:H126)</f>
        <v>5343</v>
      </c>
      <c r="I123" s="3">
        <f>+SUM(I124:I126)</f>
        <v>5955</v>
      </c>
    </row>
    <row r="124" spans="1:11" x14ac:dyDescent="0.25">
      <c r="A124" s="11" t="s">
        <v>113</v>
      </c>
      <c r="B124">
        <v>452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11" x14ac:dyDescent="0.25">
      <c r="A125" s="11" t="s">
        <v>114</v>
      </c>
      <c r="B125">
        <v>230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11" x14ac:dyDescent="0.25">
      <c r="A126" s="11" t="s">
        <v>115</v>
      </c>
      <c r="B126">
        <v>73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11" x14ac:dyDescent="0.25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1" x14ac:dyDescent="0.25">
      <c r="A128" s="4" t="s">
        <v>103</v>
      </c>
      <c r="B128" s="5">
        <f t="shared" ref="B128:I128" si="17">+B111+B115+B119+B123+B127</f>
        <v>28701</v>
      </c>
      <c r="C128" s="5">
        <f t="shared" si="17"/>
        <v>30507</v>
      </c>
      <c r="D128" s="5">
        <f t="shared" si="17"/>
        <v>32233</v>
      </c>
      <c r="E128" s="5">
        <f t="shared" si="17"/>
        <v>34485</v>
      </c>
      <c r="F128" s="5">
        <f t="shared" si="17"/>
        <v>37218</v>
      </c>
      <c r="G128" s="5">
        <f t="shared" si="17"/>
        <v>35568</v>
      </c>
      <c r="H128" s="5">
        <f t="shared" si="17"/>
        <v>42293</v>
      </c>
      <c r="I128" s="5">
        <f t="shared" si="17"/>
        <v>44436</v>
      </c>
      <c r="K128" s="64">
        <f>B129+B130+B132+B131-B134</f>
        <v>30807</v>
      </c>
    </row>
    <row r="129" spans="1:12" x14ac:dyDescent="0.25">
      <c r="A129" s="2" t="s">
        <v>104</v>
      </c>
      <c r="B129" s="63">
        <v>1982</v>
      </c>
      <c r="C129" s="63">
        <v>1955</v>
      </c>
      <c r="D129" s="63">
        <v>2042</v>
      </c>
      <c r="E129" s="63">
        <v>1886</v>
      </c>
      <c r="F129" s="63">
        <v>1906</v>
      </c>
      <c r="G129" s="63">
        <v>1846</v>
      </c>
      <c r="H129" s="3">
        <f>+SUM(H130:H133)</f>
        <v>2205</v>
      </c>
      <c r="I129" s="3">
        <f>+SUM(I130:I133)</f>
        <v>2346</v>
      </c>
    </row>
    <row r="130" spans="1:12" x14ac:dyDescent="0.25">
      <c r="A130" s="11" t="s">
        <v>113</v>
      </c>
      <c r="B130" s="3">
        <f t="shared" ref="B130:G130" si="18">B112+B116+B120+B124</f>
        <v>18318</v>
      </c>
      <c r="C130" s="3">
        <f t="shared" si="18"/>
        <v>19871</v>
      </c>
      <c r="D130" s="3">
        <f t="shared" si="18"/>
        <v>21081</v>
      </c>
      <c r="E130" s="3">
        <f t="shared" si="18"/>
        <v>22268</v>
      </c>
      <c r="F130" s="3">
        <f t="shared" si="18"/>
        <v>24222</v>
      </c>
      <c r="G130" s="3">
        <f t="shared" si="18"/>
        <v>23305</v>
      </c>
      <c r="H130" s="3">
        <v>1986</v>
      </c>
      <c r="I130" s="3">
        <v>2094</v>
      </c>
      <c r="L130" s="59"/>
    </row>
    <row r="131" spans="1:12" x14ac:dyDescent="0.25">
      <c r="A131" s="11" t="s">
        <v>114</v>
      </c>
      <c r="B131" s="3">
        <f>+B113+B117+B121+B125</f>
        <v>8637</v>
      </c>
      <c r="C131" s="3">
        <f>+C113+C117+C121+C125</f>
        <v>9067</v>
      </c>
      <c r="D131" s="3">
        <f>D113+D117+D121+D125</f>
        <v>9654</v>
      </c>
      <c r="E131" s="3">
        <f>E113+E117+E121+E125</f>
        <v>10733</v>
      </c>
      <c r="F131" s="3">
        <f>F113+F117+F121+F125</f>
        <v>11550</v>
      </c>
      <c r="G131" s="3">
        <f>G113+G117+G121+G125</f>
        <v>10953</v>
      </c>
      <c r="H131" s="3">
        <v>104</v>
      </c>
      <c r="I131" s="3">
        <v>103</v>
      </c>
    </row>
    <row r="132" spans="1:12" x14ac:dyDescent="0.25">
      <c r="A132" s="11" t="s">
        <v>115</v>
      </c>
      <c r="B132" s="3">
        <f>B114+B118+B122+B125</f>
        <v>1788</v>
      </c>
      <c r="C132" s="3">
        <f>C114+C118+C122+C126</f>
        <v>1496</v>
      </c>
      <c r="D132" s="3">
        <f>D114+D118+D122+D126</f>
        <v>1425</v>
      </c>
      <c r="E132" s="3">
        <f>E114+E118+E122+E126</f>
        <v>1396</v>
      </c>
      <c r="F132" s="3">
        <f>F114+F118+F122+F126</f>
        <v>1404</v>
      </c>
      <c r="G132" s="3">
        <f>+G114+G118+G122+G126</f>
        <v>1280</v>
      </c>
      <c r="H132" s="3">
        <v>29</v>
      </c>
      <c r="I132" s="3">
        <v>26</v>
      </c>
    </row>
    <row r="133" spans="1:12" x14ac:dyDescent="0.25">
      <c r="A133" s="11" t="s">
        <v>121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12" x14ac:dyDescent="0.25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12" ht="15.75" thickBot="1" x14ac:dyDescent="0.3">
      <c r="A135" s="6" t="s">
        <v>105</v>
      </c>
      <c r="B135" s="7">
        <f t="shared" ref="B135:I135" si="19">+B128+B129+B134</f>
        <v>30601</v>
      </c>
      <c r="C135" s="7">
        <f t="shared" si="19"/>
        <v>32376</v>
      </c>
      <c r="D135" s="7">
        <f t="shared" si="19"/>
        <v>34350</v>
      </c>
      <c r="E135" s="7">
        <f t="shared" si="19"/>
        <v>36397</v>
      </c>
      <c r="F135" s="7">
        <f t="shared" si="19"/>
        <v>39117</v>
      </c>
      <c r="G135" s="7">
        <f t="shared" si="19"/>
        <v>37403</v>
      </c>
      <c r="H135" s="7">
        <f t="shared" si="19"/>
        <v>44538</v>
      </c>
      <c r="I135" s="7">
        <f t="shared" si="19"/>
        <v>46710</v>
      </c>
    </row>
    <row r="136" spans="1:12" s="12" customFormat="1" ht="15.75" thickTop="1" x14ac:dyDescent="0.25">
      <c r="A136" s="12" t="s">
        <v>111</v>
      </c>
      <c r="B136" s="13">
        <f>+I135-I2</f>
        <v>0</v>
      </c>
      <c r="C136" s="13">
        <f t="shared" ref="C136:I136" si="20">+C135-C2</f>
        <v>0</v>
      </c>
      <c r="D136" s="13">
        <f t="shared" si="20"/>
        <v>0</v>
      </c>
      <c r="E136" s="13">
        <f t="shared" si="20"/>
        <v>0</v>
      </c>
      <c r="F136" s="13">
        <f t="shared" si="20"/>
        <v>0</v>
      </c>
      <c r="G136" s="13">
        <f t="shared" si="20"/>
        <v>0</v>
      </c>
      <c r="H136" s="13">
        <f t="shared" si="20"/>
        <v>0</v>
      </c>
      <c r="I136" s="13">
        <f t="shared" si="20"/>
        <v>0</v>
      </c>
    </row>
    <row r="137" spans="1:12" x14ac:dyDescent="0.25">
      <c r="A137" s="1" t="s">
        <v>110</v>
      </c>
    </row>
    <row r="138" spans="1:12" x14ac:dyDescent="0.25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12" x14ac:dyDescent="0.25">
      <c r="A139" s="2" t="s">
        <v>101</v>
      </c>
      <c r="B139" s="3">
        <f>1275+249+818</f>
        <v>2342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12" x14ac:dyDescent="0.25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12" x14ac:dyDescent="0.25">
      <c r="A141" s="2" t="s">
        <v>106</v>
      </c>
      <c r="B141" s="3">
        <v>100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12" x14ac:dyDescent="0.25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12" x14ac:dyDescent="0.25">
      <c r="A143" s="4" t="s">
        <v>103</v>
      </c>
      <c r="B143" s="5">
        <f t="shared" ref="B143:I143" si="21">+SUM(B138:B142)</f>
        <v>4813</v>
      </c>
      <c r="C143" s="5">
        <f t="shared" si="21"/>
        <v>5328</v>
      </c>
      <c r="D143" s="5">
        <f t="shared" si="21"/>
        <v>5192</v>
      </c>
      <c r="E143" s="5">
        <f t="shared" si="21"/>
        <v>5525</v>
      </c>
      <c r="F143" s="5">
        <f t="shared" si="21"/>
        <v>6357</v>
      </c>
      <c r="G143" s="5">
        <f t="shared" si="21"/>
        <v>4646</v>
      </c>
      <c r="H143" s="5">
        <f t="shared" si="21"/>
        <v>8641</v>
      </c>
      <c r="I143" s="5">
        <f t="shared" si="21"/>
        <v>8406</v>
      </c>
    </row>
    <row r="144" spans="1:12" x14ac:dyDescent="0.25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5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.75" thickBot="1" x14ac:dyDescent="0.3">
      <c r="A146" s="6" t="s">
        <v>112</v>
      </c>
      <c r="B146" s="7">
        <f t="shared" ref="B146:I146" si="22">+SUM(B143:B145)</f>
        <v>4233</v>
      </c>
      <c r="C146" s="7">
        <f t="shared" si="22"/>
        <v>4642</v>
      </c>
      <c r="D146" s="7">
        <f t="shared" si="22"/>
        <v>4945</v>
      </c>
      <c r="E146" s="7">
        <f t="shared" si="22"/>
        <v>4379</v>
      </c>
      <c r="F146" s="7">
        <f t="shared" si="22"/>
        <v>4850</v>
      </c>
      <c r="G146" s="7">
        <f t="shared" si="22"/>
        <v>2976</v>
      </c>
      <c r="H146" s="7">
        <f t="shared" si="22"/>
        <v>6923</v>
      </c>
      <c r="I146" s="7">
        <f t="shared" si="22"/>
        <v>6856</v>
      </c>
    </row>
    <row r="147" spans="1:9" s="12" customFormat="1" ht="15.75" thickTop="1" x14ac:dyDescent="0.25">
      <c r="A147" s="12" t="s">
        <v>111</v>
      </c>
      <c r="B147" s="13">
        <f t="shared" ref="B147:I147" si="23">+B146-B10-B8</f>
        <v>0</v>
      </c>
      <c r="C147" s="13">
        <f t="shared" si="23"/>
        <v>0</v>
      </c>
      <c r="D147" s="13">
        <f t="shared" si="23"/>
        <v>0</v>
      </c>
      <c r="E147" s="13">
        <f t="shared" si="23"/>
        <v>0</v>
      </c>
      <c r="F147" s="13">
        <f t="shared" si="23"/>
        <v>0</v>
      </c>
      <c r="G147" s="13">
        <f t="shared" si="23"/>
        <v>0</v>
      </c>
      <c r="H147" s="13">
        <f t="shared" si="23"/>
        <v>0</v>
      </c>
      <c r="I147" s="13">
        <f t="shared" si="23"/>
        <v>0</v>
      </c>
    </row>
    <row r="148" spans="1:9" x14ac:dyDescent="0.25">
      <c r="A148" s="1" t="s">
        <v>117</v>
      </c>
    </row>
    <row r="149" spans="1:9" x14ac:dyDescent="0.25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5">
      <c r="A150" s="2" t="s">
        <v>101</v>
      </c>
      <c r="B150" s="3">
        <f>451+47+103</f>
        <v>601</v>
      </c>
      <c r="C150" s="3">
        <f>589+50+109</f>
        <v>748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5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5">
      <c r="A152" s="2" t="s">
        <v>118</v>
      </c>
      <c r="B152" s="3">
        <v>205</v>
      </c>
      <c r="C152" s="3">
        <v>223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5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5">
      <c r="A154" s="4" t="s">
        <v>119</v>
      </c>
      <c r="B154" s="5">
        <f t="shared" ref="B154:I154" si="24">+SUM(B149:B153)</f>
        <v>2176</v>
      </c>
      <c r="C154" s="5">
        <f t="shared" si="24"/>
        <v>2458</v>
      </c>
      <c r="D154" s="5">
        <f t="shared" si="24"/>
        <v>2626</v>
      </c>
      <c r="E154" s="5">
        <f t="shared" si="24"/>
        <v>2889</v>
      </c>
      <c r="F154" s="5">
        <f t="shared" si="24"/>
        <v>2971</v>
      </c>
      <c r="G154" s="5">
        <f t="shared" si="24"/>
        <v>2870</v>
      </c>
      <c r="H154" s="5">
        <f t="shared" si="24"/>
        <v>2971</v>
      </c>
      <c r="I154" s="5">
        <f t="shared" si="24"/>
        <v>2925</v>
      </c>
    </row>
    <row r="155" spans="1:9" x14ac:dyDescent="0.25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5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.75" thickBot="1" x14ac:dyDescent="0.3">
      <c r="A157" s="6" t="s">
        <v>120</v>
      </c>
      <c r="B157" s="7">
        <f t="shared" ref="B157:I157" si="25">+SUM(B154:B156)</f>
        <v>3011</v>
      </c>
      <c r="C157" s="7">
        <f t="shared" si="25"/>
        <v>3520</v>
      </c>
      <c r="D157" s="7">
        <f t="shared" si="25"/>
        <v>3989</v>
      </c>
      <c r="E157" s="7">
        <f t="shared" si="25"/>
        <v>4454</v>
      </c>
      <c r="F157" s="7">
        <f t="shared" si="25"/>
        <v>4744</v>
      </c>
      <c r="G157" s="7">
        <f t="shared" si="25"/>
        <v>4866</v>
      </c>
      <c r="H157" s="7">
        <f t="shared" si="25"/>
        <v>4904</v>
      </c>
      <c r="I157" s="7">
        <f t="shared" si="25"/>
        <v>4791</v>
      </c>
    </row>
    <row r="158" spans="1:9" ht="15.75" thickTop="1" x14ac:dyDescent="0.25">
      <c r="A158" s="12" t="s">
        <v>111</v>
      </c>
      <c r="B158" s="13">
        <f t="shared" ref="B158:I158" si="26">+B157-B31</f>
        <v>0</v>
      </c>
      <c r="C158" s="13">
        <f t="shared" si="26"/>
        <v>0</v>
      </c>
      <c r="D158" s="13">
        <f t="shared" si="26"/>
        <v>0</v>
      </c>
      <c r="E158" s="13">
        <f t="shared" si="26"/>
        <v>0</v>
      </c>
      <c r="F158" s="13">
        <f t="shared" si="26"/>
        <v>0</v>
      </c>
      <c r="G158" s="13">
        <f t="shared" si="26"/>
        <v>-20</v>
      </c>
      <c r="H158" s="13">
        <f t="shared" si="26"/>
        <v>0</v>
      </c>
      <c r="I158" s="13">
        <f t="shared" si="26"/>
        <v>0</v>
      </c>
    </row>
    <row r="159" spans="1:9" x14ac:dyDescent="0.25">
      <c r="A159" s="1" t="s">
        <v>122</v>
      </c>
    </row>
    <row r="160" spans="1:9" x14ac:dyDescent="0.25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5">
      <c r="A161" s="2" t="s">
        <v>101</v>
      </c>
      <c r="B161" s="3">
        <f>216+20+37</f>
        <v>273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5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5">
      <c r="A163" s="2" t="s">
        <v>118</v>
      </c>
      <c r="B163" s="3">
        <v>15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5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5">
      <c r="A165" s="4" t="s">
        <v>119</v>
      </c>
      <c r="B165" s="5">
        <f t="shared" ref="B165:I165" si="27">+SUM(B160:B164)</f>
        <v>790</v>
      </c>
      <c r="C165" s="5">
        <f t="shared" si="27"/>
        <v>840</v>
      </c>
      <c r="D165" s="5">
        <f t="shared" si="27"/>
        <v>784</v>
      </c>
      <c r="E165" s="5">
        <f t="shared" si="27"/>
        <v>847</v>
      </c>
      <c r="F165" s="5">
        <f t="shared" si="27"/>
        <v>724</v>
      </c>
      <c r="G165" s="5">
        <f t="shared" si="27"/>
        <v>756</v>
      </c>
      <c r="H165" s="5">
        <f t="shared" si="27"/>
        <v>677</v>
      </c>
      <c r="I165" s="5">
        <f t="shared" si="27"/>
        <v>699</v>
      </c>
    </row>
    <row r="166" spans="1:9" x14ac:dyDescent="0.25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5">
      <c r="A167" s="2" t="s">
        <v>108</v>
      </c>
      <c r="B167" s="3">
        <f t="shared" ref="B167:I167" si="28">-(SUM(B165:B166)+B82)</f>
        <v>104</v>
      </c>
      <c r="C167" s="3">
        <f t="shared" si="28"/>
        <v>264</v>
      </c>
      <c r="D167" s="3">
        <f t="shared" si="28"/>
        <v>291</v>
      </c>
      <c r="E167" s="3">
        <f t="shared" si="28"/>
        <v>159</v>
      </c>
      <c r="F167" s="3">
        <f t="shared" si="28"/>
        <v>377</v>
      </c>
      <c r="G167" s="3">
        <f t="shared" si="28"/>
        <v>318</v>
      </c>
      <c r="H167" s="3">
        <f t="shared" si="28"/>
        <v>11</v>
      </c>
      <c r="I167" s="3">
        <f t="shared" si="28"/>
        <v>50</v>
      </c>
    </row>
    <row r="168" spans="1:9" ht="15.75" thickBot="1" x14ac:dyDescent="0.3">
      <c r="A168" s="6" t="s">
        <v>123</v>
      </c>
      <c r="B168" s="7">
        <f t="shared" ref="B168:I168" si="29">+SUM(B165:B167)</f>
        <v>963</v>
      </c>
      <c r="C168" s="7">
        <f t="shared" si="29"/>
        <v>1143</v>
      </c>
      <c r="D168" s="7">
        <f t="shared" si="29"/>
        <v>1105</v>
      </c>
      <c r="E168" s="7">
        <f t="shared" si="29"/>
        <v>1028</v>
      </c>
      <c r="F168" s="7">
        <f t="shared" si="29"/>
        <v>1119</v>
      </c>
      <c r="G168" s="7">
        <f t="shared" si="29"/>
        <v>1086</v>
      </c>
      <c r="H168" s="7">
        <f t="shared" si="29"/>
        <v>695</v>
      </c>
      <c r="I168" s="7">
        <f t="shared" si="29"/>
        <v>758</v>
      </c>
    </row>
    <row r="169" spans="1:9" ht="15.75" thickTop="1" x14ac:dyDescent="0.25">
      <c r="A169" s="12" t="s">
        <v>111</v>
      </c>
      <c r="B169" s="13">
        <f t="shared" ref="B169:I169" si="30">+B168+B82</f>
        <v>0</v>
      </c>
      <c r="C169" s="13">
        <f t="shared" si="30"/>
        <v>0</v>
      </c>
      <c r="D169" s="13">
        <f t="shared" si="30"/>
        <v>0</v>
      </c>
      <c r="E169" s="13">
        <f t="shared" si="30"/>
        <v>0</v>
      </c>
      <c r="F169" s="13">
        <f t="shared" si="30"/>
        <v>0</v>
      </c>
      <c r="G169" s="13">
        <f t="shared" si="30"/>
        <v>0</v>
      </c>
      <c r="H169" s="13">
        <f t="shared" si="30"/>
        <v>0</v>
      </c>
      <c r="I169" s="13">
        <f t="shared" si="30"/>
        <v>0</v>
      </c>
    </row>
    <row r="170" spans="1:9" x14ac:dyDescent="0.25">
      <c r="A170" s="1" t="s">
        <v>124</v>
      </c>
    </row>
    <row r="171" spans="1:9" x14ac:dyDescent="0.25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5">
      <c r="A172" s="2" t="s">
        <v>101</v>
      </c>
      <c r="B172" s="3">
        <f>75+12+27</f>
        <v>114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5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5">
      <c r="A174" s="2" t="s">
        <v>106</v>
      </c>
      <c r="B174" s="3">
        <v>22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5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5">
      <c r="A176" s="4" t="s">
        <v>119</v>
      </c>
      <c r="B176" s="5">
        <f>+SUM(B171:B175)</f>
        <v>513</v>
      </c>
      <c r="C176" s="5">
        <f>+SUM(C171:C175)</f>
        <v>538</v>
      </c>
      <c r="D176" s="5">
        <v>587</v>
      </c>
      <c r="E176" s="5">
        <f>+SUM(E171:E175)</f>
        <v>604</v>
      </c>
      <c r="F176" s="5">
        <f>+SUM(F171:F175)</f>
        <v>558</v>
      </c>
      <c r="G176" s="5">
        <f>+SUM(G171:G175)</f>
        <v>584</v>
      </c>
      <c r="H176" s="5">
        <f>+SUM(H171:H175)</f>
        <v>577</v>
      </c>
      <c r="I176" s="5">
        <f>+SUM(I171:I175)</f>
        <v>561</v>
      </c>
    </row>
    <row r="177" spans="1:9" x14ac:dyDescent="0.25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5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.75" thickBot="1" x14ac:dyDescent="0.3">
      <c r="A179" s="6" t="s">
        <v>125</v>
      </c>
      <c r="B179" s="7">
        <f t="shared" ref="B179:I179" si="31">+SUM(B176:B178)</f>
        <v>606</v>
      </c>
      <c r="C179" s="7">
        <f t="shared" si="31"/>
        <v>649</v>
      </c>
      <c r="D179" s="7">
        <f t="shared" si="31"/>
        <v>706</v>
      </c>
      <c r="E179" s="7">
        <f t="shared" si="31"/>
        <v>747</v>
      </c>
      <c r="F179" s="7">
        <f t="shared" si="31"/>
        <v>705</v>
      </c>
      <c r="G179" s="7">
        <f t="shared" si="31"/>
        <v>721</v>
      </c>
      <c r="H179" s="7">
        <f t="shared" si="31"/>
        <v>744</v>
      </c>
      <c r="I179" s="7">
        <f t="shared" si="31"/>
        <v>717</v>
      </c>
    </row>
    <row r="180" spans="1:9" ht="15.75" thickTop="1" x14ac:dyDescent="0.25">
      <c r="A180" s="12" t="s">
        <v>111</v>
      </c>
      <c r="B180" s="13">
        <f t="shared" ref="B180:I180" si="32">+B179-B66</f>
        <v>0</v>
      </c>
      <c r="C180" s="13">
        <f t="shared" si="32"/>
        <v>0</v>
      </c>
      <c r="D180" s="13">
        <f t="shared" si="32"/>
        <v>0</v>
      </c>
      <c r="E180" s="13">
        <f t="shared" si="32"/>
        <v>0</v>
      </c>
      <c r="F180" s="13">
        <f t="shared" si="32"/>
        <v>0</v>
      </c>
      <c r="G180" s="13">
        <f t="shared" si="32"/>
        <v>0</v>
      </c>
      <c r="H180" s="13">
        <f t="shared" si="32"/>
        <v>0</v>
      </c>
      <c r="I180" s="13">
        <f t="shared" si="32"/>
        <v>0</v>
      </c>
    </row>
    <row r="181" spans="1:9" x14ac:dyDescent="0.25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28" t="s">
        <v>127</v>
      </c>
    </row>
    <row r="183" spans="1:9" x14ac:dyDescent="0.25">
      <c r="A183" s="33" t="s">
        <v>100</v>
      </c>
      <c r="B183" s="34"/>
      <c r="C183" s="60">
        <v>7.4526928675400297E-2</v>
      </c>
      <c r="D183" s="60">
        <v>3.061500948252506E-2</v>
      </c>
      <c r="E183" s="60">
        <v>-2.4301581958936384E-2</v>
      </c>
      <c r="F183" s="60">
        <v>7.0481319421070346E-2</v>
      </c>
      <c r="G183" s="60">
        <v>-8.9171173437303478E-2</v>
      </c>
      <c r="H183" s="60">
        <v>0.18606738470035902</v>
      </c>
      <c r="I183" s="34">
        <v>7.0000000000000007E-2</v>
      </c>
    </row>
    <row r="184" spans="1:9" x14ac:dyDescent="0.25">
      <c r="A184" s="31" t="s">
        <v>113</v>
      </c>
      <c r="B184" s="30"/>
      <c r="C184" s="60">
        <v>9.3228309428638606E-2</v>
      </c>
      <c r="D184" s="60">
        <v>4.1402301322722872E-2</v>
      </c>
      <c r="E184" s="60">
        <v>-3.7381247418422137E-2</v>
      </c>
      <c r="F184" s="60">
        <v>7.7558463848959452E-2</v>
      </c>
      <c r="G184" s="60">
        <v>-7.1279243404678949E-2</v>
      </c>
      <c r="H184" s="60">
        <v>0.24815092721620752</v>
      </c>
      <c r="I184" s="30">
        <v>0.05</v>
      </c>
    </row>
    <row r="185" spans="1:9" x14ac:dyDescent="0.25">
      <c r="A185" s="31" t="s">
        <v>114</v>
      </c>
      <c r="B185" s="30"/>
      <c r="C185" s="60">
        <v>7.6190476190476197E-2</v>
      </c>
      <c r="D185" s="60">
        <v>2.9498525073746312E-2</v>
      </c>
      <c r="E185" s="60">
        <v>1.0642652476463364E-2</v>
      </c>
      <c r="F185" s="60">
        <v>6.5208586472255969E-2</v>
      </c>
      <c r="G185" s="60">
        <v>-0.11806083650190113</v>
      </c>
      <c r="H185" s="60">
        <v>8.3854278939426596E-2</v>
      </c>
      <c r="I185" s="30">
        <v>0.09</v>
      </c>
    </row>
    <row r="186" spans="1:9" x14ac:dyDescent="0.25">
      <c r="A186" s="31" t="s">
        <v>115</v>
      </c>
      <c r="B186" s="30"/>
      <c r="C186" s="60">
        <v>-0.12742718446601942</v>
      </c>
      <c r="D186" s="60">
        <v>-0.10152990264255911</v>
      </c>
      <c r="E186" s="60">
        <v>-7.8947368421052627E-2</v>
      </c>
      <c r="F186" s="60">
        <v>3.3613445378151263E-3</v>
      </c>
      <c r="G186" s="60">
        <v>-0.135678391959799</v>
      </c>
      <c r="H186" s="60">
        <v>-1.7441860465116279E-2</v>
      </c>
      <c r="I186" s="30">
        <v>0.25</v>
      </c>
    </row>
    <row r="187" spans="1:9" x14ac:dyDescent="0.25">
      <c r="A187" s="33" t="s">
        <v>101</v>
      </c>
      <c r="B187" s="34"/>
      <c r="C187" s="60">
        <v>-0.31349782293178519</v>
      </c>
      <c r="D187" s="60">
        <v>5.3118393234672302E-2</v>
      </c>
      <c r="E187" s="60">
        <v>0.15959849435382686</v>
      </c>
      <c r="F187" s="60">
        <v>6.1674962129409219E-2</v>
      </c>
      <c r="G187" s="60">
        <v>-4.7390949857317573E-2</v>
      </c>
      <c r="H187" s="60">
        <v>0.22563389322777361</v>
      </c>
      <c r="I187" s="34">
        <v>0.12</v>
      </c>
    </row>
    <row r="188" spans="1:9" x14ac:dyDescent="0.25">
      <c r="A188" s="31" t="s">
        <v>113</v>
      </c>
      <c r="B188" s="30"/>
      <c r="C188" s="60">
        <v>-0.31331699346405228</v>
      </c>
      <c r="D188" s="60">
        <v>2.9545905215149711E-2</v>
      </c>
      <c r="E188" s="60">
        <v>0.13154853620955315</v>
      </c>
      <c r="F188" s="60">
        <v>7.114893617021277E-2</v>
      </c>
      <c r="G188" s="60">
        <v>-6.3721595423486418E-2</v>
      </c>
      <c r="H188" s="60">
        <v>0.18295994568906992</v>
      </c>
      <c r="I188" s="30">
        <v>0.09</v>
      </c>
    </row>
    <row r="189" spans="1:9" x14ac:dyDescent="0.25">
      <c r="A189" s="31" t="s">
        <v>114</v>
      </c>
      <c r="B189" s="30"/>
      <c r="C189" s="60">
        <v>-0.30045572916666669</v>
      </c>
      <c r="D189" s="60">
        <v>0.11447184737087017</v>
      </c>
      <c r="E189" s="60">
        <v>0.22755741127348644</v>
      </c>
      <c r="F189" s="60">
        <v>0.05</v>
      </c>
      <c r="G189" s="60">
        <v>-1.101392938127632E-2</v>
      </c>
      <c r="H189" s="60">
        <v>0.30887651490337376</v>
      </c>
      <c r="I189" s="30">
        <v>0.16</v>
      </c>
    </row>
    <row r="190" spans="1:9" x14ac:dyDescent="0.25">
      <c r="A190" s="31" t="s">
        <v>115</v>
      </c>
      <c r="B190" s="30"/>
      <c r="C190" s="60">
        <v>-0.38157894736842107</v>
      </c>
      <c r="D190" s="60">
        <v>1.8617021276595744E-2</v>
      </c>
      <c r="E190" s="60">
        <v>0.11488250652741515</v>
      </c>
      <c r="F190" s="60">
        <v>1.1709601873536301E-2</v>
      </c>
      <c r="G190" s="60">
        <v>-6.9444444444444448E-2</v>
      </c>
      <c r="H190" s="60">
        <v>0.21890547263681592</v>
      </c>
      <c r="I190" s="30">
        <v>0.17</v>
      </c>
    </row>
    <row r="191" spans="1:9" x14ac:dyDescent="0.25">
      <c r="A191" s="33" t="s">
        <v>102</v>
      </c>
      <c r="B191" s="34"/>
      <c r="C191" s="60">
        <v>0.23410498858819692</v>
      </c>
      <c r="D191" s="60">
        <v>0.11941875825627477</v>
      </c>
      <c r="E191" s="60">
        <v>0.21170639603493038</v>
      </c>
      <c r="F191" s="60">
        <v>0.20919361121932217</v>
      </c>
      <c r="G191" s="60">
        <v>7.5869845360824736E-2</v>
      </c>
      <c r="H191" s="60">
        <v>0.24120377301991316</v>
      </c>
      <c r="I191" s="34">
        <v>-0.13</v>
      </c>
    </row>
    <row r="192" spans="1:9" x14ac:dyDescent="0.25">
      <c r="A192" s="31" t="s">
        <v>113</v>
      </c>
      <c r="B192" s="30"/>
      <c r="C192" s="60">
        <v>0.28918650793650796</v>
      </c>
      <c r="D192" s="60">
        <v>0.12350904193920739</v>
      </c>
      <c r="E192" s="60">
        <v>0.19726027397260273</v>
      </c>
      <c r="F192" s="60">
        <v>0.21910755148741418</v>
      </c>
      <c r="G192" s="60">
        <v>8.7517597372125763E-2</v>
      </c>
      <c r="H192" s="60">
        <v>0.24012944983818771</v>
      </c>
      <c r="I192" s="30">
        <v>-0.1</v>
      </c>
    </row>
    <row r="193" spans="1:9" x14ac:dyDescent="0.25">
      <c r="A193" s="31" t="s">
        <v>114</v>
      </c>
      <c r="B193" s="30"/>
      <c r="C193" s="60">
        <v>0.14054054054054055</v>
      </c>
      <c r="D193" s="60">
        <v>0.12606635071090047</v>
      </c>
      <c r="E193" s="60">
        <v>0.26936026936026936</v>
      </c>
      <c r="F193" s="60">
        <v>0.19893899204244031</v>
      </c>
      <c r="G193" s="60">
        <v>4.8672566371681415E-2</v>
      </c>
      <c r="H193" s="60">
        <v>0.2378691983122363</v>
      </c>
      <c r="I193" s="30">
        <v>-0.21</v>
      </c>
    </row>
    <row r="194" spans="1:9" x14ac:dyDescent="0.25">
      <c r="A194" s="31" t="s">
        <v>115</v>
      </c>
      <c r="B194" s="30"/>
      <c r="C194" s="60">
        <v>3.968253968253968E-2</v>
      </c>
      <c r="D194" s="60">
        <v>-1.5267175572519083E-2</v>
      </c>
      <c r="E194" s="60">
        <v>7.7519379844961239E-3</v>
      </c>
      <c r="F194" s="60">
        <v>6.1538461538461542E-2</v>
      </c>
      <c r="G194" s="60">
        <v>7.2463768115942032E-2</v>
      </c>
      <c r="H194" s="60">
        <v>0.31756756756756754</v>
      </c>
      <c r="I194" s="30">
        <v>-0.06</v>
      </c>
    </row>
    <row r="195" spans="1:9" x14ac:dyDescent="0.25">
      <c r="A195" s="33" t="s">
        <v>106</v>
      </c>
      <c r="B195" s="34"/>
      <c r="C195" s="60">
        <v>4.717880794701987</v>
      </c>
      <c r="D195" s="60">
        <v>9.7289784572619872E-2</v>
      </c>
      <c r="E195" s="60">
        <v>9.0563647878404055E-2</v>
      </c>
      <c r="F195" s="60">
        <v>1.7034456058846303E-2</v>
      </c>
      <c r="G195" s="60">
        <v>-4.3014845831747243E-2</v>
      </c>
      <c r="H195" s="60">
        <v>6.2649164677804292E-2</v>
      </c>
      <c r="I195" s="34">
        <v>0.16</v>
      </c>
    </row>
    <row r="196" spans="1:9" x14ac:dyDescent="0.25">
      <c r="A196" s="31" t="s">
        <v>113</v>
      </c>
      <c r="B196" s="30"/>
      <c r="C196" s="60">
        <v>5.4823008849557526</v>
      </c>
      <c r="D196" s="60">
        <v>0.12116040955631399</v>
      </c>
      <c r="E196" s="60">
        <v>8.8280060882800604E-2</v>
      </c>
      <c r="F196" s="60">
        <v>1.3146853146853148E-2</v>
      </c>
      <c r="G196" s="60">
        <v>-4.7763666482606291E-2</v>
      </c>
      <c r="H196" s="60">
        <v>6.0887213685126125E-2</v>
      </c>
      <c r="I196" s="30">
        <v>0.17</v>
      </c>
    </row>
    <row r="197" spans="1:9" x14ac:dyDescent="0.25">
      <c r="A197" s="31" t="s">
        <v>114</v>
      </c>
      <c r="B197" s="30"/>
      <c r="C197" s="60">
        <v>3.8565217391304349</v>
      </c>
      <c r="D197" s="60">
        <v>6.087735004476276E-2</v>
      </c>
      <c r="E197" s="60">
        <v>0.13670886075949368</v>
      </c>
      <c r="F197" s="60">
        <v>3.5634743875278395E-2</v>
      </c>
      <c r="G197" s="60">
        <v>-2.1505376344086023E-2</v>
      </c>
      <c r="H197" s="60">
        <v>9.4505494505494503E-2</v>
      </c>
      <c r="I197" s="30">
        <v>0.12</v>
      </c>
    </row>
    <row r="198" spans="1:9" x14ac:dyDescent="0.25">
      <c r="A198" s="31" t="s">
        <v>115</v>
      </c>
      <c r="B198" s="30"/>
      <c r="C198" s="60">
        <v>2.6986301369863015</v>
      </c>
      <c r="D198" s="60">
        <v>-1.1111111111111112E-2</v>
      </c>
      <c r="E198" s="60">
        <v>-8.6142322097378279E-2</v>
      </c>
      <c r="F198" s="60">
        <v>-2.8688524590163935E-2</v>
      </c>
      <c r="G198" s="60">
        <v>-9.7046413502109699E-2</v>
      </c>
      <c r="H198" s="60">
        <v>-0.11214953271028037</v>
      </c>
      <c r="I198" s="30">
        <v>0.28000000000000003</v>
      </c>
    </row>
    <row r="199" spans="1:9" x14ac:dyDescent="0.25">
      <c r="A199" s="33" t="s">
        <v>107</v>
      </c>
      <c r="B199" s="34"/>
      <c r="C199" s="60">
        <v>-0.36521739130434783</v>
      </c>
      <c r="D199" s="60">
        <v>0</v>
      </c>
      <c r="E199" s="60">
        <v>0.20547945205479451</v>
      </c>
      <c r="F199" s="60">
        <v>-0.52272727272727271</v>
      </c>
      <c r="G199" s="60">
        <v>-0.2857142857142857</v>
      </c>
      <c r="H199" s="60">
        <v>-0.16666666666666666</v>
      </c>
      <c r="I199" s="34">
        <v>3.02</v>
      </c>
    </row>
    <row r="200" spans="1:9" x14ac:dyDescent="0.25">
      <c r="A200" s="35" t="s">
        <v>103</v>
      </c>
      <c r="B200" s="37"/>
      <c r="C200" s="61">
        <v>6.2924636772237905E-2</v>
      </c>
      <c r="D200" s="60">
        <v>5.6577179008096501E-2</v>
      </c>
      <c r="E200" s="60">
        <v>6.9866286104303038E-2</v>
      </c>
      <c r="F200" s="60">
        <v>7.9251848629839056E-2</v>
      </c>
      <c r="G200" s="60">
        <v>-4.4333387070772209E-2</v>
      </c>
      <c r="H200" s="60">
        <v>0.18907444894286998</v>
      </c>
      <c r="I200" s="37">
        <v>0.06</v>
      </c>
    </row>
    <row r="201" spans="1:9" x14ac:dyDescent="0.25">
      <c r="A201" s="33" t="s">
        <v>104</v>
      </c>
      <c r="B201" s="34"/>
      <c r="C201" s="60">
        <v>-1.3622603430877902E-2</v>
      </c>
      <c r="D201" s="60">
        <v>4.4501278772378514E-2</v>
      </c>
      <c r="E201" s="60">
        <v>-7.6395690499510283E-2</v>
      </c>
      <c r="F201" s="60">
        <v>1.0604453870625663E-2</v>
      </c>
      <c r="G201" s="60">
        <v>-3.1479538300104928E-2</v>
      </c>
      <c r="H201" s="60">
        <v>0.19447453954496208</v>
      </c>
      <c r="I201" s="34">
        <v>7.0000000000000007E-2</v>
      </c>
    </row>
    <row r="202" spans="1:9" x14ac:dyDescent="0.25">
      <c r="A202" s="31" t="s">
        <v>113</v>
      </c>
      <c r="B202" s="30"/>
      <c r="C202" s="60">
        <v>8.4779997816355493E-2</v>
      </c>
      <c r="D202" s="60">
        <v>6.0892758290976803E-2</v>
      </c>
      <c r="E202" s="60">
        <v>5.6306626820359564E-2</v>
      </c>
      <c r="F202" s="60">
        <v>8.7749236572660316E-2</v>
      </c>
      <c r="G202" s="60">
        <v>-3.7858145487573283E-2</v>
      </c>
      <c r="H202" s="60">
        <v>-0.91478223557176574</v>
      </c>
      <c r="I202" s="30">
        <v>0.06</v>
      </c>
    </row>
    <row r="203" spans="1:9" x14ac:dyDescent="0.25">
      <c r="A203" s="31" t="s">
        <v>114</v>
      </c>
      <c r="B203" s="30"/>
      <c r="C203" s="60">
        <v>4.978580525645479E-2</v>
      </c>
      <c r="D203" s="60">
        <v>6.4740266901952129E-2</v>
      </c>
      <c r="E203" s="60">
        <v>0.11176714315309716</v>
      </c>
      <c r="F203" s="60">
        <v>7.6120376409205256E-2</v>
      </c>
      <c r="G203" s="60">
        <v>-5.1688311688311686E-2</v>
      </c>
      <c r="H203" s="60">
        <v>-0.99050488450652785</v>
      </c>
      <c r="I203" s="30">
        <v>-0.03</v>
      </c>
    </row>
    <row r="204" spans="1:9" x14ac:dyDescent="0.25">
      <c r="A204" s="31" t="s">
        <v>115</v>
      </c>
      <c r="B204" s="30"/>
      <c r="C204" s="60">
        <v>-0.16331096196868009</v>
      </c>
      <c r="D204" s="60">
        <v>-4.7459893048128345E-2</v>
      </c>
      <c r="E204" s="60">
        <v>-2.0350877192982456E-2</v>
      </c>
      <c r="F204" s="60">
        <v>5.7306590257879654E-3</v>
      </c>
      <c r="G204" s="60">
        <v>-8.8319088319088315E-2</v>
      </c>
      <c r="H204" s="60">
        <v>-0.97734374999999996</v>
      </c>
      <c r="I204" s="30">
        <v>-0.16</v>
      </c>
    </row>
    <row r="205" spans="1:9" x14ac:dyDescent="0.25">
      <c r="A205" s="31" t="s">
        <v>121</v>
      </c>
      <c r="B205" s="30"/>
      <c r="C205" s="62">
        <v>0</v>
      </c>
      <c r="D205" s="62">
        <v>0</v>
      </c>
      <c r="E205" s="60" t="e">
        <v>#DIV/0!</v>
      </c>
      <c r="F205" s="60">
        <v>2.9126213592233011E-2</v>
      </c>
      <c r="G205" s="60">
        <v>-0.15094339622641509</v>
      </c>
      <c r="H205" s="60">
        <v>-4.4444444444444446E-2</v>
      </c>
      <c r="I205" s="30">
        <v>0.42</v>
      </c>
    </row>
    <row r="206" spans="1:9" x14ac:dyDescent="0.25">
      <c r="A206" s="29" t="s">
        <v>108</v>
      </c>
      <c r="B206" s="30"/>
      <c r="C206" s="60">
        <v>4.878048780487805E-2</v>
      </c>
      <c r="D206" s="60">
        <v>-1.8720930232558139</v>
      </c>
      <c r="E206" s="60">
        <v>-0.65333333333333332</v>
      </c>
      <c r="F206" s="60">
        <v>-1.2692307692307692</v>
      </c>
      <c r="G206" s="60">
        <v>-0.5714285714285714</v>
      </c>
      <c r="H206" s="60">
        <v>-4.6363636363636367</v>
      </c>
      <c r="I206" s="30">
        <v>0</v>
      </c>
    </row>
    <row r="207" spans="1:9" ht="15.75" thickBot="1" x14ac:dyDescent="0.3">
      <c r="A207" s="32" t="s">
        <v>105</v>
      </c>
      <c r="B207" s="36"/>
      <c r="C207" s="61">
        <v>5.8004640371229696E-2</v>
      </c>
      <c r="D207" s="60">
        <v>6.0971089696071165E-2</v>
      </c>
      <c r="E207" s="60">
        <v>5.9592430858806403E-2</v>
      </c>
      <c r="F207" s="60">
        <v>7.4731433909388134E-2</v>
      </c>
      <c r="G207" s="60">
        <v>-4.3817266150267146E-2</v>
      </c>
      <c r="H207" s="60">
        <v>0.1907600994572628</v>
      </c>
      <c r="I207" s="36">
        <v>0.06</v>
      </c>
    </row>
    <row r="20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F5512-7E20-2144-ADD7-0FF16F9873FA}">
  <dimension ref="A1:N216"/>
  <sheetViews>
    <sheetView topLeftCell="A187" workbookViewId="0">
      <selection activeCell="A234" sqref="A234"/>
    </sheetView>
  </sheetViews>
  <sheetFormatPr defaultColWidth="8.85546875" defaultRowHeight="15" x14ac:dyDescent="0.25"/>
  <cols>
    <col min="1" max="1" width="48.85546875" customWidth="1"/>
    <col min="2" max="14" width="11.85546875" customWidth="1"/>
  </cols>
  <sheetData>
    <row r="1" spans="1:14" ht="60" customHeight="1" x14ac:dyDescent="0.2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4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25">
      <c r="A3" s="41" t="s">
        <v>139</v>
      </c>
      <c r="B3" s="59">
        <f>+B21+B52+B83+B114+B145+B164+B199</f>
        <v>57362</v>
      </c>
      <c r="C3" s="59">
        <f>C21+C52+C83+C114+C145+C199+C164</f>
        <v>64032</v>
      </c>
      <c r="D3" s="59">
        <f t="shared" ref="D3:N3" si="1">D21+D52+D83+D114+D145+D164+D199</f>
        <v>64468</v>
      </c>
      <c r="E3" s="59">
        <f t="shared" si="1"/>
        <v>69011</v>
      </c>
      <c r="F3" s="59">
        <f t="shared" si="1"/>
        <v>74493</v>
      </c>
      <c r="G3" s="59">
        <f t="shared" si="1"/>
        <v>71507</v>
      </c>
      <c r="H3" s="59">
        <f t="shared" si="1"/>
        <v>44538</v>
      </c>
      <c r="I3" s="59">
        <f t="shared" si="1"/>
        <v>46710</v>
      </c>
      <c r="J3" s="3">
        <f t="shared" si="1"/>
        <v>51149.91</v>
      </c>
      <c r="K3" s="3">
        <f t="shared" si="1"/>
        <v>56238.1178</v>
      </c>
      <c r="L3" s="3">
        <f t="shared" si="1"/>
        <v>62152.217064000004</v>
      </c>
      <c r="M3" s="3">
        <f t="shared" si="1"/>
        <v>69035.727678320007</v>
      </c>
      <c r="N3" s="3">
        <f t="shared" si="1"/>
        <v>77060.535136311591</v>
      </c>
    </row>
    <row r="4" spans="1:14" x14ac:dyDescent="0.25">
      <c r="A4" s="42" t="s">
        <v>129</v>
      </c>
      <c r="B4" s="60" t="str">
        <f>+IFERROR(B3/A3-1,"nm")</f>
        <v>nm</v>
      </c>
      <c r="C4" s="60">
        <f>+IFERROR(C3/B3-1,"nm")</f>
        <v>0.11627906976744184</v>
      </c>
      <c r="D4" s="60">
        <f>+IFERROR(D3/C3-1,"nm")</f>
        <v>6.8090954522739278E-3</v>
      </c>
      <c r="E4" s="60">
        <f>+IFERROR(D3/E3-1,"nm")</f>
        <v>-6.5830085058903642E-2</v>
      </c>
      <c r="F4" s="60">
        <f>+IFERROR(E3/F3-1,"nm")</f>
        <v>-7.3590807189937268E-2</v>
      </c>
      <c r="G4" s="60">
        <f>+IFERROR(F3/G3-1,"nm")</f>
        <v>4.1758149551792023E-2</v>
      </c>
      <c r="H4" s="60">
        <f>+IFERROR(G3/H3-1,"nm")</f>
        <v>0.60552786384660284</v>
      </c>
      <c r="I4" s="60">
        <f>+IFERROR(H3/I3-1,"nm")</f>
        <v>-4.6499678869621031E-2</v>
      </c>
      <c r="J4" s="47">
        <f>+IFERROR(J3/I3-1,"nm")</f>
        <v>9.5052665382145296E-2</v>
      </c>
      <c r="K4" s="47">
        <f>+IFERROR(K3/J3-1,"nm")</f>
        <v>9.9476378355308759E-2</v>
      </c>
      <c r="L4" s="47">
        <f>+IFERROR(L3/K3-1,"nm")</f>
        <v>0.10516175674712924</v>
      </c>
      <c r="M4" s="47">
        <f>+IFERROR(M3/L3-1,"nm")</f>
        <v>0.11075245485180107</v>
      </c>
      <c r="N4" s="47">
        <f>+IFERROR(N3/M3-1,"nm")</f>
        <v>0.11624136846046018</v>
      </c>
    </row>
    <row r="5" spans="1:14" x14ac:dyDescent="0.25">
      <c r="A5" s="41" t="s">
        <v>130</v>
      </c>
      <c r="B5" s="59">
        <f>B35+B66+B97+B128+B147+B182+B201</f>
        <v>4839</v>
      </c>
      <c r="C5" s="59">
        <f>C35+C66+C97+C128+C147+C182+C201</f>
        <v>5291</v>
      </c>
      <c r="D5" s="59">
        <f>D35+D66+D97+D128+D147+D182+D201</f>
        <v>5644</v>
      </c>
      <c r="E5" s="59">
        <f>E35+E66+E97+E128+E147+E182+E201</f>
        <v>5126</v>
      </c>
      <c r="F5" s="59">
        <f>F35+F66+F97+F128+F147+F182+F201</f>
        <v>5555</v>
      </c>
      <c r="G5" s="59">
        <f>G35+G66+G97+G128+G147+G182+174</f>
        <v>5726</v>
      </c>
      <c r="H5" s="59">
        <f t="shared" ref="H5:N5" si="2">H35+H66+H97+H128+H147+H182+H201</f>
        <v>7667</v>
      </c>
      <c r="I5" s="59">
        <f t="shared" si="2"/>
        <v>7573</v>
      </c>
      <c r="J5" s="59">
        <f t="shared" si="2"/>
        <v>7843.0170999999991</v>
      </c>
      <c r="K5" s="59">
        <f t="shared" si="2"/>
        <v>8594.6197779999966</v>
      </c>
      <c r="L5" s="59">
        <f t="shared" si="2"/>
        <v>9486.2957892399972</v>
      </c>
      <c r="M5" s="59">
        <f t="shared" si="2"/>
        <v>10543.683541259194</v>
      </c>
      <c r="N5" s="59">
        <f t="shared" si="2"/>
        <v>11797.72951808833</v>
      </c>
    </row>
    <row r="6" spans="1:14" x14ac:dyDescent="0.25">
      <c r="A6" s="42" t="s">
        <v>129</v>
      </c>
      <c r="B6" s="60" t="str">
        <f>+IFERROR(B5/A5-1,"nm")</f>
        <v>nm</v>
      </c>
      <c r="C6" s="60">
        <f>+IFERROR(C5/B5-1,"nm")</f>
        <v>9.3407728869601137E-2</v>
      </c>
      <c r="D6" s="60">
        <f>+IFERROR(D5/C5-1,"nm")</f>
        <v>6.6717066717066675E-2</v>
      </c>
      <c r="E6" s="60">
        <f>+IFERROR(D5/E5-1,"nm")</f>
        <v>0.10105345298478352</v>
      </c>
      <c r="F6" s="60">
        <f t="shared" ref="F6:N6" si="3">+IFERROR(F5/E5-1,"nm")</f>
        <v>8.3690987124463545E-2</v>
      </c>
      <c r="G6" s="60">
        <f t="shared" si="3"/>
        <v>3.0783078307830891E-2</v>
      </c>
      <c r="H6" s="60">
        <f t="shared" si="3"/>
        <v>0.33898009081383162</v>
      </c>
      <c r="I6" s="60">
        <f t="shared" si="3"/>
        <v>-1.2260336507108338E-2</v>
      </c>
      <c r="J6" s="47">
        <f t="shared" si="3"/>
        <v>3.5655235705796873E-2</v>
      </c>
      <c r="K6" s="47">
        <f t="shared" si="3"/>
        <v>9.5830809549044327E-2</v>
      </c>
      <c r="L6" s="47">
        <f t="shared" si="3"/>
        <v>0.10374816271947962</v>
      </c>
      <c r="M6" s="47">
        <f t="shared" si="3"/>
        <v>0.11146476722964493</v>
      </c>
      <c r="N6" s="47">
        <f t="shared" si="3"/>
        <v>0.11893812745060539</v>
      </c>
    </row>
    <row r="7" spans="1:14" x14ac:dyDescent="0.25">
      <c r="A7" s="42" t="s">
        <v>131</v>
      </c>
      <c r="B7" s="60">
        <f t="shared" ref="B7:N7" si="4">+IFERROR(B5/B$3,"nm")</f>
        <v>8.4358983299048146E-2</v>
      </c>
      <c r="C7" s="60">
        <f t="shared" si="4"/>
        <v>8.2630559720139926E-2</v>
      </c>
      <c r="D7" s="60">
        <f t="shared" si="4"/>
        <v>8.7547310293478939E-2</v>
      </c>
      <c r="E7" s="60">
        <f t="shared" si="4"/>
        <v>7.4278013649997823E-2</v>
      </c>
      <c r="F7" s="60">
        <f t="shared" si="4"/>
        <v>7.4570765038325743E-2</v>
      </c>
      <c r="G7" s="60">
        <f t="shared" si="4"/>
        <v>8.007607646803809E-2</v>
      </c>
      <c r="H7" s="60">
        <f t="shared" si="4"/>
        <v>0.17214513449189456</v>
      </c>
      <c r="I7" s="60">
        <f t="shared" si="4"/>
        <v>0.16212802397773496</v>
      </c>
      <c r="J7" s="47">
        <f t="shared" si="4"/>
        <v>0.15333393743996809</v>
      </c>
      <c r="K7" s="47">
        <f t="shared" si="4"/>
        <v>0.15282552322545895</v>
      </c>
      <c r="L7" s="47">
        <f t="shared" si="4"/>
        <v>0.15263004663971477</v>
      </c>
      <c r="M7" s="47">
        <f t="shared" si="4"/>
        <v>0.15272792647871711</v>
      </c>
      <c r="N7" s="47">
        <f t="shared" si="4"/>
        <v>0.15309690618186661</v>
      </c>
    </row>
    <row r="8" spans="1:14" x14ac:dyDescent="0.25">
      <c r="A8" s="41" t="s">
        <v>132</v>
      </c>
      <c r="B8" s="59">
        <f>+B38+B69+B100+B131+B150+B185+B204</f>
        <v>606</v>
      </c>
      <c r="C8" s="59">
        <f t="shared" ref="C8:N8" si="5">C38+C69+C100+C131+C150+C185+C204</f>
        <v>649</v>
      </c>
      <c r="D8" s="59">
        <f t="shared" si="5"/>
        <v>699</v>
      </c>
      <c r="E8" s="59">
        <f t="shared" si="5"/>
        <v>747</v>
      </c>
      <c r="F8" s="59">
        <f t="shared" si="5"/>
        <v>705</v>
      </c>
      <c r="G8" s="59">
        <f t="shared" si="5"/>
        <v>721</v>
      </c>
      <c r="H8" s="59">
        <f t="shared" si="5"/>
        <v>744</v>
      </c>
      <c r="I8" s="59">
        <f t="shared" si="5"/>
        <v>717</v>
      </c>
      <c r="J8" s="59">
        <f t="shared" si="5"/>
        <v>1290.4712813823473</v>
      </c>
      <c r="K8" s="59">
        <f t="shared" si="5"/>
        <v>1438.4574826929331</v>
      </c>
      <c r="L8" s="59">
        <f t="shared" si="5"/>
        <v>1610.7469934160981</v>
      </c>
      <c r="M8" s="59">
        <f t="shared" si="5"/>
        <v>1811.7510402383245</v>
      </c>
      <c r="N8" s="59">
        <f t="shared" si="5"/>
        <v>2046.7713409784781</v>
      </c>
    </row>
    <row r="9" spans="1:14" x14ac:dyDescent="0.25">
      <c r="A9" s="42" t="s">
        <v>129</v>
      </c>
      <c r="B9" s="60" t="str">
        <f t="shared" ref="B9:N9" si="6">+IFERROR(B8/A8-1,"nm")</f>
        <v>nm</v>
      </c>
      <c r="C9" s="60">
        <f t="shared" si="6"/>
        <v>7.0957095709570872E-2</v>
      </c>
      <c r="D9" s="60">
        <f t="shared" si="6"/>
        <v>7.7041602465331316E-2</v>
      </c>
      <c r="E9" s="60">
        <f t="shared" si="6"/>
        <v>6.8669527896995763E-2</v>
      </c>
      <c r="F9" s="60">
        <f t="shared" si="6"/>
        <v>-5.6224899598393607E-2</v>
      </c>
      <c r="G9" s="60">
        <f t="shared" si="6"/>
        <v>2.2695035460992941E-2</v>
      </c>
      <c r="H9" s="60">
        <f t="shared" si="6"/>
        <v>3.1900138696255187E-2</v>
      </c>
      <c r="I9" s="60">
        <f t="shared" si="6"/>
        <v>-3.6290322580645129E-2</v>
      </c>
      <c r="J9" s="47">
        <f t="shared" si="6"/>
        <v>0.79982047612600748</v>
      </c>
      <c r="K9" s="47">
        <f t="shared" si="6"/>
        <v>0.11467609039084037</v>
      </c>
      <c r="L9" s="47">
        <f t="shared" si="6"/>
        <v>0.11977379435687041</v>
      </c>
      <c r="M9" s="47">
        <f t="shared" si="6"/>
        <v>0.12478933541010928</v>
      </c>
      <c r="N9" s="47">
        <f t="shared" si="6"/>
        <v>0.12971997560395399</v>
      </c>
    </row>
    <row r="10" spans="1:14" x14ac:dyDescent="0.25">
      <c r="A10" s="42" t="s">
        <v>133</v>
      </c>
      <c r="B10" s="60">
        <f t="shared" ref="B10:N10" si="7">+IFERROR(B8/B$3,"nm")</f>
        <v>1.0564485199260835E-2</v>
      </c>
      <c r="C10" s="60">
        <f t="shared" si="7"/>
        <v>1.0135557221389306E-2</v>
      </c>
      <c r="D10" s="60">
        <f t="shared" si="7"/>
        <v>1.0842588571074022E-2</v>
      </c>
      <c r="E10" s="60">
        <f t="shared" si="7"/>
        <v>1.0824361333700424E-2</v>
      </c>
      <c r="F10" s="60">
        <f t="shared" si="7"/>
        <v>9.4639764810116392E-3</v>
      </c>
      <c r="G10" s="60">
        <f t="shared" si="7"/>
        <v>1.0082928944019466E-2</v>
      </c>
      <c r="H10" s="60">
        <f t="shared" si="7"/>
        <v>1.6704836319547355E-2</v>
      </c>
      <c r="I10" s="60">
        <f t="shared" si="7"/>
        <v>1.5350032113037893E-2</v>
      </c>
      <c r="J10" s="47">
        <f t="shared" si="7"/>
        <v>2.5229199452791749E-2</v>
      </c>
      <c r="K10" s="47">
        <f t="shared" si="7"/>
        <v>2.5577980539969871E-2</v>
      </c>
      <c r="L10" s="47">
        <f t="shared" si="7"/>
        <v>2.5916163083248719E-2</v>
      </c>
      <c r="M10" s="47">
        <f t="shared" si="7"/>
        <v>2.6243672677434344E-2</v>
      </c>
      <c r="N10" s="47">
        <f t="shared" si="7"/>
        <v>2.6560564851489353E-2</v>
      </c>
    </row>
    <row r="11" spans="1:14" x14ac:dyDescent="0.25">
      <c r="A11" s="41" t="s">
        <v>134</v>
      </c>
      <c r="B11" s="59">
        <f t="shared" ref="B11:H11" si="8">B42+B73+B104+B135+B154+B189+B208</f>
        <v>4233</v>
      </c>
      <c r="C11" s="59">
        <f t="shared" si="8"/>
        <v>4642</v>
      </c>
      <c r="D11" s="59">
        <f t="shared" si="8"/>
        <v>4945</v>
      </c>
      <c r="E11" s="59">
        <f t="shared" si="8"/>
        <v>4379</v>
      </c>
      <c r="F11" s="59">
        <f t="shared" si="8"/>
        <v>4850</v>
      </c>
      <c r="G11" s="59">
        <f t="shared" si="8"/>
        <v>2976</v>
      </c>
      <c r="H11" s="59">
        <f t="shared" si="8"/>
        <v>6923</v>
      </c>
      <c r="I11" s="59">
        <f>I42+I73+I104+I135+I154+I208+I189</f>
        <v>6856</v>
      </c>
      <c r="J11" s="59">
        <f>J5-J8</f>
        <v>6552.545818617652</v>
      </c>
      <c r="K11" s="59">
        <f>K5-K8</f>
        <v>7156.1622953070637</v>
      </c>
      <c r="L11" s="59">
        <f>L5-L8</f>
        <v>7875.5487958238991</v>
      </c>
      <c r="M11" s="59">
        <f>M5-M8</f>
        <v>8731.9325010208686</v>
      </c>
      <c r="N11" s="59">
        <f>N5-N8</f>
        <v>9750.9581771098528</v>
      </c>
    </row>
    <row r="12" spans="1:14" x14ac:dyDescent="0.25">
      <c r="A12" s="42" t="s">
        <v>129</v>
      </c>
      <c r="B12" s="60" t="str">
        <f t="shared" ref="B12:N12" si="9">+IFERROR(B11/A11-1,"nm")</f>
        <v>nm</v>
      </c>
      <c r="C12" s="60">
        <f t="shared" si="9"/>
        <v>9.6621781242617555E-2</v>
      </c>
      <c r="D12" s="60">
        <f t="shared" si="9"/>
        <v>6.5273588970271357E-2</v>
      </c>
      <c r="E12" s="60">
        <f t="shared" si="9"/>
        <v>-0.11445904954499497</v>
      </c>
      <c r="F12" s="60">
        <f t="shared" si="9"/>
        <v>0.10755880337976698</v>
      </c>
      <c r="G12" s="60">
        <f t="shared" si="9"/>
        <v>-0.38639175257731961</v>
      </c>
      <c r="H12" s="60">
        <f t="shared" si="9"/>
        <v>1.32627688172043</v>
      </c>
      <c r="I12" s="60">
        <f t="shared" si="9"/>
        <v>-9.67788530983682E-3</v>
      </c>
      <c r="J12" s="47">
        <f t="shared" si="9"/>
        <v>-4.4261111636865191E-2</v>
      </c>
      <c r="K12" s="47">
        <f t="shared" si="9"/>
        <v>9.2119382816731266E-2</v>
      </c>
      <c r="L12" s="47">
        <f t="shared" si="9"/>
        <v>0.10052685655111571</v>
      </c>
      <c r="M12" s="47">
        <f t="shared" si="9"/>
        <v>0.10873955928646861</v>
      </c>
      <c r="N12" s="47">
        <f t="shared" si="9"/>
        <v>0.1167010482467481</v>
      </c>
    </row>
    <row r="13" spans="1:14" x14ac:dyDescent="0.25">
      <c r="A13" s="42" t="s">
        <v>131</v>
      </c>
      <c r="B13" s="60">
        <f t="shared" ref="B13:N13" si="10">+IFERROR(B11/B$3,"nm")</f>
        <v>7.3794498099787317E-2</v>
      </c>
      <c r="C13" s="60">
        <f t="shared" si="10"/>
        <v>7.2495002498750627E-2</v>
      </c>
      <c r="D13" s="60">
        <f t="shared" si="10"/>
        <v>7.6704721722404917E-2</v>
      </c>
      <c r="E13" s="60">
        <f t="shared" si="10"/>
        <v>6.3453652316297404E-2</v>
      </c>
      <c r="F13" s="60">
        <f t="shared" si="10"/>
        <v>6.510678855731411E-2</v>
      </c>
      <c r="G13" s="60">
        <f t="shared" si="10"/>
        <v>4.1618303103192693E-2</v>
      </c>
      <c r="H13" s="60">
        <f t="shared" si="10"/>
        <v>0.1554402981723472</v>
      </c>
      <c r="I13" s="60">
        <f t="shared" si="10"/>
        <v>0.14677799186469706</v>
      </c>
      <c r="J13" s="47">
        <f t="shared" si="10"/>
        <v>0.12810473798717636</v>
      </c>
      <c r="K13" s="47">
        <f t="shared" si="10"/>
        <v>0.1272475426854891</v>
      </c>
      <c r="L13" s="47">
        <f t="shared" si="10"/>
        <v>0.12671388355646607</v>
      </c>
      <c r="M13" s="47">
        <f t="shared" si="10"/>
        <v>0.12648425380128275</v>
      </c>
      <c r="N13" s="47">
        <f t="shared" si="10"/>
        <v>0.12653634133037725</v>
      </c>
    </row>
    <row r="14" spans="1:14" x14ac:dyDescent="0.25">
      <c r="A14" s="41" t="s">
        <v>135</v>
      </c>
      <c r="B14" s="59">
        <f>B45+B76+B107+B138+B157+B192+B211</f>
        <v>963</v>
      </c>
      <c r="C14" s="59">
        <f>C45+C76+C107+C138+C157+C192+C211</f>
        <v>1143</v>
      </c>
      <c r="D14" s="59">
        <f>D45+D76+D107+D138+D157+D192+D211</f>
        <v>1105</v>
      </c>
      <c r="E14" s="59">
        <f>E45+E76+E107+E138+E157+E192+183</f>
        <v>1052</v>
      </c>
      <c r="F14" s="59">
        <f t="shared" ref="F14:N14" si="11">F45+F76+F107+F138+F157+F192+F211</f>
        <v>1119</v>
      </c>
      <c r="G14" s="59">
        <f t="shared" si="11"/>
        <v>1086</v>
      </c>
      <c r="H14" s="59">
        <f t="shared" si="11"/>
        <v>695</v>
      </c>
      <c r="I14" s="59">
        <f t="shared" si="11"/>
        <v>758</v>
      </c>
      <c r="J14" s="59">
        <f t="shared" si="11"/>
        <v>877.06778701753126</v>
      </c>
      <c r="K14" s="59">
        <f t="shared" si="11"/>
        <v>967.06093458273665</v>
      </c>
      <c r="L14" s="59">
        <f t="shared" si="11"/>
        <v>1070.2781009751459</v>
      </c>
      <c r="M14" s="59">
        <f t="shared" si="11"/>
        <v>1188.8255319086113</v>
      </c>
      <c r="N14" s="59">
        <f t="shared" si="11"/>
        <v>1325.191723307873</v>
      </c>
    </row>
    <row r="15" spans="1:14" x14ac:dyDescent="0.25">
      <c r="A15" s="42" t="s">
        <v>129</v>
      </c>
      <c r="B15" s="60" t="str">
        <f t="shared" ref="B15:N15" si="12">+IFERROR(B14/A14-1,"nm")</f>
        <v>nm</v>
      </c>
      <c r="C15" s="60">
        <f t="shared" si="12"/>
        <v>0.18691588785046731</v>
      </c>
      <c r="D15" s="60">
        <f t="shared" si="12"/>
        <v>-3.3245844269466307E-2</v>
      </c>
      <c r="E15" s="60">
        <f t="shared" si="12"/>
        <v>-4.7963800904977427E-2</v>
      </c>
      <c r="F15" s="60">
        <f t="shared" si="12"/>
        <v>6.3688212927756727E-2</v>
      </c>
      <c r="G15" s="60">
        <f t="shared" si="12"/>
        <v>-2.9490616621983934E-2</v>
      </c>
      <c r="H15" s="60">
        <f t="shared" si="12"/>
        <v>-0.36003683241252304</v>
      </c>
      <c r="I15" s="60">
        <f t="shared" si="12"/>
        <v>9.0647482014388547E-2</v>
      </c>
      <c r="J15" s="47">
        <f t="shared" si="12"/>
        <v>0.15708151321574038</v>
      </c>
      <c r="K15" s="47">
        <f t="shared" si="12"/>
        <v>0.10260683255877745</v>
      </c>
      <c r="L15" s="47">
        <f t="shared" si="12"/>
        <v>0.10673284660903493</v>
      </c>
      <c r="M15" s="47">
        <f t="shared" si="12"/>
        <v>0.11076320334449075</v>
      </c>
      <c r="N15" s="47">
        <f t="shared" si="12"/>
        <v>0.11470664764436145</v>
      </c>
    </row>
    <row r="16" spans="1:14" x14ac:dyDescent="0.25">
      <c r="A16" s="42" t="s">
        <v>133</v>
      </c>
      <c r="B16" s="60">
        <f t="shared" ref="B16:N16" si="13">+IFERROR(B14/B$3,"nm")</f>
        <v>1.6788117569122414E-2</v>
      </c>
      <c r="C16" s="60">
        <f t="shared" si="13"/>
        <v>1.7850449775112444E-2</v>
      </c>
      <c r="D16" s="60">
        <f t="shared" si="13"/>
        <v>1.7140286653843768E-2</v>
      </c>
      <c r="E16" s="60">
        <f t="shared" si="13"/>
        <v>1.5243946617205953E-2</v>
      </c>
      <c r="F16" s="60">
        <f t="shared" si="13"/>
        <v>1.502154564858443E-2</v>
      </c>
      <c r="G16" s="60">
        <f t="shared" si="13"/>
        <v>1.5187324317898947E-2</v>
      </c>
      <c r="H16" s="60">
        <f t="shared" si="13"/>
        <v>1.5604652207104046E-2</v>
      </c>
      <c r="I16" s="60">
        <f t="shared" si="13"/>
        <v>1.6227788482123744E-2</v>
      </c>
      <c r="J16" s="47">
        <f t="shared" si="13"/>
        <v>1.7147005478944755E-2</v>
      </c>
      <c r="K16" s="47">
        <f t="shared" si="13"/>
        <v>1.7195826823755055E-2</v>
      </c>
      <c r="L16" s="47">
        <f t="shared" si="13"/>
        <v>1.7220272285267769E-2</v>
      </c>
      <c r="M16" s="47">
        <f t="shared" si="13"/>
        <v>1.7220438921830186E-2</v>
      </c>
      <c r="N16" s="47">
        <f t="shared" si="13"/>
        <v>1.7196762531738911E-2</v>
      </c>
    </row>
    <row r="17" spans="1:14" x14ac:dyDescent="0.25">
      <c r="A17" s="42" t="s">
        <v>141</v>
      </c>
      <c r="B17" s="59">
        <f t="shared" ref="B17:N17" si="14">B48+B79+B110+B141+B160+B195+B214</f>
        <v>2821</v>
      </c>
      <c r="C17" s="59">
        <f t="shared" si="14"/>
        <v>3359</v>
      </c>
      <c r="D17" s="59">
        <f t="shared" si="14"/>
        <v>3708</v>
      </c>
      <c r="E17" s="59">
        <f t="shared" si="14"/>
        <v>4164</v>
      </c>
      <c r="F17" s="59">
        <f t="shared" si="14"/>
        <v>4465</v>
      </c>
      <c r="G17" s="59">
        <f t="shared" si="14"/>
        <v>4611</v>
      </c>
      <c r="H17" s="59">
        <f t="shared" si="14"/>
        <v>4654</v>
      </c>
      <c r="I17" s="59">
        <f t="shared" si="14"/>
        <v>4573</v>
      </c>
      <c r="J17" s="59">
        <f t="shared" si="14"/>
        <v>6199.7328999999991</v>
      </c>
      <c r="K17" s="59">
        <f t="shared" si="14"/>
        <v>6684.5539420000005</v>
      </c>
      <c r="L17" s="59">
        <f t="shared" si="14"/>
        <v>7244.0769493599992</v>
      </c>
      <c r="M17" s="59">
        <f t="shared" si="14"/>
        <v>7890.7286814088002</v>
      </c>
      <c r="N17" s="59">
        <f t="shared" si="14"/>
        <v>8639.2718589060041</v>
      </c>
    </row>
    <row r="18" spans="1:14" x14ac:dyDescent="0.25">
      <c r="A18" s="42" t="s">
        <v>129</v>
      </c>
      <c r="B18" s="65" t="str">
        <f t="shared" ref="B18:N18" si="15">+IFERROR(B17/A17-1,"nm")</f>
        <v>nm</v>
      </c>
      <c r="C18" s="65">
        <f t="shared" si="15"/>
        <v>0.19071251329315841</v>
      </c>
      <c r="D18" s="65">
        <f t="shared" si="15"/>
        <v>0.10389997022923492</v>
      </c>
      <c r="E18" s="65">
        <f t="shared" si="15"/>
        <v>0.12297734627831725</v>
      </c>
      <c r="F18" s="65">
        <f t="shared" si="15"/>
        <v>7.2286263208453327E-2</v>
      </c>
      <c r="G18" s="65">
        <f t="shared" si="15"/>
        <v>3.2698768197088501E-2</v>
      </c>
      <c r="H18" s="65">
        <f t="shared" si="15"/>
        <v>9.3255259162872139E-3</v>
      </c>
      <c r="I18" s="65">
        <f t="shared" si="15"/>
        <v>-1.7404383326171002E-2</v>
      </c>
      <c r="J18" s="47">
        <f t="shared" si="15"/>
        <v>0.35572554122020539</v>
      </c>
      <c r="K18" s="47">
        <f t="shared" si="15"/>
        <v>7.8200311177922144E-2</v>
      </c>
      <c r="L18" s="47">
        <f t="shared" si="15"/>
        <v>8.3703865989387394E-2</v>
      </c>
      <c r="M18" s="47">
        <f t="shared" si="15"/>
        <v>8.9266270439870343E-2</v>
      </c>
      <c r="N18" s="47">
        <f t="shared" si="15"/>
        <v>9.486363144899812E-2</v>
      </c>
    </row>
    <row r="19" spans="1:14" x14ac:dyDescent="0.25">
      <c r="A19" s="42" t="s">
        <v>133</v>
      </c>
      <c r="B19" s="65">
        <f t="shared" ref="B19:N19" si="16">+IFERROR(B17/B$3,"nm")</f>
        <v>4.9178898922631706E-2</v>
      </c>
      <c r="C19" s="65">
        <f t="shared" si="16"/>
        <v>5.245814592703648E-2</v>
      </c>
      <c r="D19" s="65">
        <f t="shared" si="16"/>
        <v>5.7516907613079357E-2</v>
      </c>
      <c r="E19" s="65">
        <f t="shared" si="16"/>
        <v>6.0338206952514815E-2</v>
      </c>
      <c r="F19" s="65">
        <f t="shared" si="16"/>
        <v>5.9938517713073715E-2</v>
      </c>
      <c r="G19" s="65">
        <f t="shared" si="16"/>
        <v>6.448319744920078E-2</v>
      </c>
      <c r="H19" s="65">
        <f t="shared" si="16"/>
        <v>0.1044950379451255</v>
      </c>
      <c r="I19" s="65">
        <f t="shared" si="16"/>
        <v>9.7901948190965538E-2</v>
      </c>
      <c r="J19" s="47">
        <f t="shared" si="16"/>
        <v>0.12120711258338478</v>
      </c>
      <c r="K19" s="47">
        <f t="shared" si="16"/>
        <v>0.11886162274797896</v>
      </c>
      <c r="L19" s="47">
        <f t="shared" si="16"/>
        <v>0.11655379794256665</v>
      </c>
      <c r="M19" s="47">
        <f t="shared" si="16"/>
        <v>0.11429920342371949</v>
      </c>
      <c r="N19" s="47">
        <f t="shared" si="16"/>
        <v>0.1121101980880886</v>
      </c>
    </row>
    <row r="20" spans="1:14" x14ac:dyDescent="0.25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K20" s="39"/>
      <c r="L20" s="39"/>
      <c r="M20" s="39"/>
      <c r="N20" s="39"/>
    </row>
    <row r="21" spans="1:14" x14ac:dyDescent="0.25">
      <c r="A21" s="9" t="s">
        <v>136</v>
      </c>
      <c r="B21" s="9">
        <f>B23+B27+B31</f>
        <v>13740</v>
      </c>
      <c r="C21" s="9">
        <f>C23+C27+C35</f>
        <v>17941</v>
      </c>
      <c r="D21" s="9">
        <f t="shared" ref="D21:I21" si="17">D23+D27+D31</f>
        <v>15216</v>
      </c>
      <c r="E21" s="9">
        <f t="shared" si="17"/>
        <v>14855</v>
      </c>
      <c r="F21" s="9">
        <f t="shared" si="17"/>
        <v>15902</v>
      </c>
      <c r="G21" s="9">
        <f t="shared" si="17"/>
        <v>14484</v>
      </c>
      <c r="H21" s="9">
        <f t="shared" si="17"/>
        <v>17179</v>
      </c>
      <c r="I21" s="9">
        <f t="shared" si="17"/>
        <v>18353</v>
      </c>
      <c r="J21" s="9">
        <f>+SUM(J23+J27+J31)</f>
        <v>19121.04</v>
      </c>
      <c r="K21" s="9">
        <f>+SUM(K23+K27+K31)</f>
        <v>19939.135200000001</v>
      </c>
      <c r="L21" s="9">
        <f>+SUM(L23+L27+L31)</f>
        <v>20813.366256000001</v>
      </c>
      <c r="M21" s="9">
        <f>+SUM(M23+M27+M31)</f>
        <v>21750.870853680004</v>
      </c>
      <c r="N21" s="9">
        <f>+SUM(N23+N27+N31)</f>
        <v>22760.048281790405</v>
      </c>
    </row>
    <row r="22" spans="1:14" x14ac:dyDescent="0.25">
      <c r="A22" s="44" t="s">
        <v>129</v>
      </c>
      <c r="B22" s="47" t="str">
        <f>+IFERROR(B3/A3-1,"nm")</f>
        <v>nm</v>
      </c>
      <c r="C22" s="47">
        <f t="shared" ref="C22:N22" si="18">+IFERROR(C21/B21-1,"nm")</f>
        <v>0.30574963609898109</v>
      </c>
      <c r="D22" s="47">
        <f t="shared" si="18"/>
        <v>-0.15188673986957246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4.1848199204489678E-2</v>
      </c>
      <c r="K22" s="47">
        <f t="shared" si="18"/>
        <v>4.2785078635890095E-2</v>
      </c>
      <c r="L22" s="47">
        <f t="shared" si="18"/>
        <v>4.3844983607914889E-2</v>
      </c>
      <c r="M22" s="47">
        <f t="shared" si="18"/>
        <v>4.504339116262579E-2</v>
      </c>
      <c r="N22" s="47">
        <f t="shared" si="18"/>
        <v>4.6397104506721742E-2</v>
      </c>
    </row>
    <row r="23" spans="1:14" x14ac:dyDescent="0.25">
      <c r="A23" s="45" t="s">
        <v>113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12594.84</v>
      </c>
      <c r="K23" s="3">
        <f>+J23*(1+K24)</f>
        <v>12972.6852</v>
      </c>
      <c r="L23" s="3">
        <f>+K23*(1+L24)</f>
        <v>13361.865756000001</v>
      </c>
      <c r="M23" s="3">
        <f>+L23*(1+M24)</f>
        <v>13762.721728680002</v>
      </c>
      <c r="N23" s="3">
        <f>+M23*(1+N24)</f>
        <v>14175.603380540402</v>
      </c>
    </row>
    <row r="24" spans="1:14" x14ac:dyDescent="0.25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0.03</v>
      </c>
      <c r="K24" s="47">
        <f>+K25+K26</f>
        <v>0.03</v>
      </c>
      <c r="L24" s="47">
        <f>+L25+L26</f>
        <v>0.03</v>
      </c>
      <c r="M24" s="47">
        <f>+M25+M26</f>
        <v>0.03</v>
      </c>
      <c r="N24" s="47">
        <f>+N25+N26</f>
        <v>0.03</v>
      </c>
    </row>
    <row r="25" spans="1:14" x14ac:dyDescent="0.25">
      <c r="A25" s="44" t="s">
        <v>137</v>
      </c>
      <c r="B25" s="47">
        <f>+Historicals!B184</f>
        <v>0</v>
      </c>
      <c r="C25" s="47">
        <f>+Historicals!C184</f>
        <v>9.3228309428638606E-2</v>
      </c>
      <c r="D25" s="47">
        <f>+Historicals!D184</f>
        <v>4.1402301322722872E-2</v>
      </c>
      <c r="E25" s="47">
        <f>+Historicals!E184</f>
        <v>-3.7381247418422137E-2</v>
      </c>
      <c r="F25" s="47">
        <f>+Historicals!F184</f>
        <v>7.7558463848959452E-2</v>
      </c>
      <c r="G25" s="47">
        <f>+Historicals!G184</f>
        <v>-7.1279243404678949E-2</v>
      </c>
      <c r="H25" s="47">
        <f>+Historicals!H184</f>
        <v>0.24815092721620752</v>
      </c>
      <c r="I25" s="47">
        <f>+Historicals!I184</f>
        <v>0.05</v>
      </c>
      <c r="J25" s="49">
        <v>0.03</v>
      </c>
      <c r="K25" s="49">
        <f t="shared" ref="K25:N26" si="20">+J25</f>
        <v>0.03</v>
      </c>
      <c r="L25" s="49">
        <f t="shared" si="20"/>
        <v>0.03</v>
      </c>
      <c r="M25" s="49">
        <f t="shared" si="20"/>
        <v>0.03</v>
      </c>
      <c r="N25" s="49">
        <f t="shared" si="20"/>
        <v>0.03</v>
      </c>
    </row>
    <row r="26" spans="1:14" x14ac:dyDescent="0.25">
      <c r="A26" s="44" t="s">
        <v>138</v>
      </c>
      <c r="B26" s="47" t="str">
        <f t="shared" ref="B26:I26" si="21">+IFERROR(B24-B25,"nm")</f>
        <v>nm</v>
      </c>
      <c r="C26" s="47">
        <f t="shared" si="21"/>
        <v>-2.7755575615628914E-17</v>
      </c>
      <c r="D26" s="47">
        <f t="shared" si="21"/>
        <v>6.2450045135165055E-17</v>
      </c>
      <c r="E26" s="47">
        <f t="shared" si="21"/>
        <v>-5.5511151231257827E-17</v>
      </c>
      <c r="F26" s="47">
        <f t="shared" si="21"/>
        <v>2.7755575615628914E-17</v>
      </c>
      <c r="G26" s="47">
        <f t="shared" si="21"/>
        <v>0</v>
      </c>
      <c r="H26" s="47">
        <f t="shared" si="21"/>
        <v>-5.5511151231257827E-17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</row>
    <row r="27" spans="1:14" x14ac:dyDescent="0.25">
      <c r="A27" s="45" t="s">
        <v>114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5766.6</v>
      </c>
      <c r="K27" s="3">
        <f>+J27*(1+K28)</f>
        <v>6054.93</v>
      </c>
      <c r="L27" s="3">
        <f>+K27*(1+L28)</f>
        <v>6357.6765000000005</v>
      </c>
      <c r="M27" s="3">
        <f>+L27*(1+M28)</f>
        <v>6675.5603250000004</v>
      </c>
      <c r="N27" s="3">
        <f>+M27*(1+N28)</f>
        <v>7009.3383412500007</v>
      </c>
    </row>
    <row r="28" spans="1:14" x14ac:dyDescent="0.25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0.05</v>
      </c>
      <c r="K28" s="47">
        <f>+K29+K30</f>
        <v>0.05</v>
      </c>
      <c r="L28" s="47">
        <f>+L29+L30</f>
        <v>0.05</v>
      </c>
      <c r="M28" s="47">
        <f>+M29+M30</f>
        <v>0.05</v>
      </c>
      <c r="N28" s="47">
        <f>+N29+N30</f>
        <v>0.05</v>
      </c>
    </row>
    <row r="29" spans="1:14" x14ac:dyDescent="0.25">
      <c r="A29" s="44" t="s">
        <v>137</v>
      </c>
      <c r="B29" s="47">
        <f>+Historicals!B188</f>
        <v>0</v>
      </c>
      <c r="C29" s="47">
        <f>+Historicals!C188</f>
        <v>-0.31331699346405228</v>
      </c>
      <c r="D29" s="47">
        <f>+Historicals!D188</f>
        <v>2.9545905215149711E-2</v>
      </c>
      <c r="E29" s="47">
        <f>+Historicals!E188</f>
        <v>0.13154853620955315</v>
      </c>
      <c r="F29" s="47">
        <f>+Historicals!F188</f>
        <v>7.114893617021277E-2</v>
      </c>
      <c r="G29" s="47">
        <f>+Historicals!G188</f>
        <v>-6.3721595423486418E-2</v>
      </c>
      <c r="H29" s="47">
        <f>+Historicals!H188</f>
        <v>0.18295994568906992</v>
      </c>
      <c r="I29" s="47">
        <f>+Historicals!I188</f>
        <v>0.09</v>
      </c>
      <c r="J29" s="49">
        <v>0.05</v>
      </c>
      <c r="K29" s="49">
        <f t="shared" ref="K29:N30" si="23">+J29</f>
        <v>0.05</v>
      </c>
      <c r="L29" s="49">
        <f t="shared" si="23"/>
        <v>0.05</v>
      </c>
      <c r="M29" s="49">
        <f t="shared" si="23"/>
        <v>0.05</v>
      </c>
      <c r="N29" s="49">
        <f t="shared" si="23"/>
        <v>0.05</v>
      </c>
    </row>
    <row r="30" spans="1:14" x14ac:dyDescent="0.25">
      <c r="A30" s="44" t="s">
        <v>138</v>
      </c>
      <c r="B30" s="47" t="str">
        <f t="shared" ref="B30:I30" si="24">+IFERROR(B28-B29,"nm")</f>
        <v>nm</v>
      </c>
      <c r="C30" s="47">
        <f t="shared" si="24"/>
        <v>0.38950746965452843</v>
      </c>
      <c r="D30" s="47">
        <f t="shared" si="24"/>
        <v>-4.7380141403426806E-5</v>
      </c>
      <c r="E30" s="47">
        <f t="shared" si="24"/>
        <v>-0.1209058837330898</v>
      </c>
      <c r="F30" s="47">
        <f t="shared" si="24"/>
        <v>-5.9403496979567455E-3</v>
      </c>
      <c r="G30" s="47">
        <f t="shared" si="24"/>
        <v>-5.4339241078414716E-2</v>
      </c>
      <c r="H30" s="47">
        <f t="shared" si="24"/>
        <v>-9.9105666749643384E-2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</row>
    <row r="31" spans="1:14" x14ac:dyDescent="0.25">
      <c r="A31" s="45" t="s">
        <v>115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759.6</v>
      </c>
      <c r="K31" s="3">
        <f>+J31*(1+K32)</f>
        <v>911.52</v>
      </c>
      <c r="L31" s="3">
        <f>+K31*(1+L32)</f>
        <v>1093.8239999999998</v>
      </c>
      <c r="M31" s="3">
        <f>+L31*(1+M32)</f>
        <v>1312.5887999999998</v>
      </c>
      <c r="N31" s="3">
        <f>+M31*(1+N32)</f>
        <v>1575.1065599999997</v>
      </c>
    </row>
    <row r="32" spans="1:14" x14ac:dyDescent="0.25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0.2</v>
      </c>
      <c r="K32" s="47">
        <f>+K33+K34</f>
        <v>0.2</v>
      </c>
      <c r="L32" s="47">
        <f>+L33+L34</f>
        <v>0.2</v>
      </c>
      <c r="M32" s="47">
        <f>+M33+M34</f>
        <v>0.2</v>
      </c>
      <c r="N32" s="47">
        <f>+N33+N34</f>
        <v>0.2</v>
      </c>
    </row>
    <row r="33" spans="1:14" x14ac:dyDescent="0.25">
      <c r="A33" s="44" t="s">
        <v>137</v>
      </c>
      <c r="B33" s="47">
        <f>+Historicals!B186</f>
        <v>0</v>
      </c>
      <c r="C33" s="47">
        <f>+Historicals!C186</f>
        <v>-0.12742718446601942</v>
      </c>
      <c r="D33" s="47">
        <f>+Historicals!D186</f>
        <v>-0.10152990264255911</v>
      </c>
      <c r="E33" s="47">
        <f>+Historicals!E186</f>
        <v>-7.8947368421052627E-2</v>
      </c>
      <c r="F33" s="47">
        <f>+Historicals!F186</f>
        <v>3.3613445378151263E-3</v>
      </c>
      <c r="G33" s="47">
        <f>+Historicals!G186</f>
        <v>-0.135678391959799</v>
      </c>
      <c r="H33" s="47">
        <f>+Historicals!H186</f>
        <v>-1.7441860465116279E-2</v>
      </c>
      <c r="I33" s="47">
        <f>+Historicals!I186</f>
        <v>0.25</v>
      </c>
      <c r="J33" s="49">
        <v>0.2</v>
      </c>
      <c r="K33" s="49">
        <f t="shared" ref="K33:N34" si="26">+J33</f>
        <v>0.2</v>
      </c>
      <c r="L33" s="49">
        <f t="shared" si="26"/>
        <v>0.2</v>
      </c>
      <c r="M33" s="49">
        <f t="shared" si="26"/>
        <v>0.2</v>
      </c>
      <c r="N33" s="49">
        <f t="shared" si="26"/>
        <v>0.2</v>
      </c>
    </row>
    <row r="34" spans="1:14" x14ac:dyDescent="0.25">
      <c r="A34" s="44" t="s">
        <v>138</v>
      </c>
      <c r="B34" s="47" t="str">
        <f t="shared" ref="B34:I34" si="27">+IFERROR(B32-B33,"nm")</f>
        <v>nm</v>
      </c>
      <c r="C34" s="47">
        <f t="shared" si="27"/>
        <v>0</v>
      </c>
      <c r="D34" s="47">
        <f t="shared" si="27"/>
        <v>-1.3877787807814457E-17</v>
      </c>
      <c r="E34" s="47">
        <f t="shared" si="27"/>
        <v>-2.7755575615628914E-17</v>
      </c>
      <c r="F34" s="47">
        <f t="shared" si="27"/>
        <v>-1.214306433183765E-17</v>
      </c>
      <c r="G34" s="47">
        <f t="shared" si="27"/>
        <v>-2.7755575615628914E-17</v>
      </c>
      <c r="H34" s="47">
        <f t="shared" si="27"/>
        <v>-3.1225022567582528E-17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</row>
    <row r="35" spans="1:14" x14ac:dyDescent="0.25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6692.3639999999996</v>
      </c>
      <c r="K35" s="48">
        <f>+K21*K37</f>
        <v>6978.6973200000002</v>
      </c>
      <c r="L35" s="48">
        <f>+L21*L37</f>
        <v>7284.6781896000002</v>
      </c>
      <c r="M35" s="48">
        <f>+M21*M37</f>
        <v>7612.8047987880009</v>
      </c>
      <c r="N35" s="48">
        <f>+N21*N37</f>
        <v>7966.0168986266408</v>
      </c>
    </row>
    <row r="36" spans="1:14" x14ac:dyDescent="0.25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0.27765635738831618</v>
      </c>
      <c r="K36" s="47">
        <f t="shared" si="29"/>
        <v>4.2785078635890095E-2</v>
      </c>
      <c r="L36" s="47">
        <f t="shared" si="29"/>
        <v>4.3844983607914889E-2</v>
      </c>
      <c r="M36" s="47">
        <f t="shared" si="29"/>
        <v>4.5043391162625568E-2</v>
      </c>
      <c r="N36" s="47">
        <f t="shared" si="29"/>
        <v>4.6397104506721742E-2</v>
      </c>
    </row>
    <row r="37" spans="1:14" x14ac:dyDescent="0.25">
      <c r="A37" s="46" t="s">
        <v>131</v>
      </c>
      <c r="B37" s="47">
        <f t="shared" ref="B37:I37" si="30">+IFERROR(B35/B$21,"nm")</f>
        <v>0.27409024745269289</v>
      </c>
      <c r="C37" s="47">
        <f t="shared" si="30"/>
        <v>0.2171562343236163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v>0.35</v>
      </c>
      <c r="K37" s="49">
        <f>+J37</f>
        <v>0.35</v>
      </c>
      <c r="L37" s="49">
        <f>+K37</f>
        <v>0.35</v>
      </c>
      <c r="M37" s="49">
        <f>+L37</f>
        <v>0.35</v>
      </c>
      <c r="N37" s="49">
        <f>+M37</f>
        <v>0.35</v>
      </c>
    </row>
    <row r="38" spans="1:14" x14ac:dyDescent="0.25">
      <c r="A38" s="9" t="s">
        <v>132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8">
        <f>+J41*J48</f>
        <v>185.52495774647889</v>
      </c>
      <c r="K38" s="48">
        <f>+K41*K48</f>
        <v>193.46265765258215</v>
      </c>
      <c r="L38" s="48">
        <f>+L41*L48</f>
        <v>201.94502470610331</v>
      </c>
      <c r="M38" s="48">
        <f>+M41*M48</f>
        <v>211.0413134472864</v>
      </c>
      <c r="N38" s="48">
        <f>+N41*N48</f>
        <v>220.83301932253602</v>
      </c>
    </row>
    <row r="39" spans="1:14" x14ac:dyDescent="0.25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0.4961690140845072</v>
      </c>
      <c r="K39" s="47">
        <f t="shared" si="31"/>
        <v>4.2785078635889873E-2</v>
      </c>
      <c r="L39" s="47">
        <f t="shared" si="31"/>
        <v>4.3844983607915111E-2</v>
      </c>
      <c r="M39" s="47">
        <f t="shared" si="31"/>
        <v>4.5043391162625568E-2</v>
      </c>
      <c r="N39" s="47">
        <f t="shared" si="31"/>
        <v>4.6397104506721965E-2</v>
      </c>
    </row>
    <row r="40" spans="1:14" x14ac:dyDescent="0.25">
      <c r="A40" s="46" t="s">
        <v>133</v>
      </c>
      <c r="B40" s="47">
        <f t="shared" ref="B40:N40" si="32">+IFERROR(B38/B$21,"nm")</f>
        <v>8.8064046579330417E-3</v>
      </c>
      <c r="C40" s="47">
        <f t="shared" si="32"/>
        <v>7.4131876706984004E-3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9.7026604068857596E-3</v>
      </c>
      <c r="K40" s="47">
        <f t="shared" si="32"/>
        <v>9.7026604068857578E-3</v>
      </c>
      <c r="L40" s="47">
        <f t="shared" si="32"/>
        <v>9.7026604068857596E-3</v>
      </c>
      <c r="M40" s="47">
        <f t="shared" si="32"/>
        <v>9.7026604068857578E-3</v>
      </c>
      <c r="N40" s="47">
        <f t="shared" si="32"/>
        <v>9.7026604068857596E-3</v>
      </c>
    </row>
    <row r="41" spans="1:14" x14ac:dyDescent="0.25">
      <c r="A41" t="s">
        <v>140</v>
      </c>
      <c r="B41" s="60">
        <f t="shared" ref="B41:I41" si="33">+IFERROR(B38/B48,"nm")</f>
        <v>0.19145569620253164</v>
      </c>
      <c r="C41" s="60">
        <f t="shared" si="33"/>
        <v>0.17924528301886791</v>
      </c>
      <c r="D41" s="60">
        <f t="shared" si="33"/>
        <v>0.17094017094017094</v>
      </c>
      <c r="E41" s="60">
        <f t="shared" si="33"/>
        <v>0.18867924528301888</v>
      </c>
      <c r="F41" s="60">
        <f t="shared" si="33"/>
        <v>0.18304668304668303</v>
      </c>
      <c r="G41" s="60">
        <f t="shared" si="33"/>
        <v>0.22945736434108527</v>
      </c>
      <c r="H41" s="60">
        <f t="shared" si="33"/>
        <v>0.21069692058346839</v>
      </c>
      <c r="I41" s="60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25">
      <c r="A42" s="9" t="s">
        <v>134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6506.8390422535203</v>
      </c>
      <c r="K42" s="9">
        <f>+K35-K38</f>
        <v>6785.2346623474177</v>
      </c>
      <c r="L42" s="9">
        <f>+L35-L38</f>
        <v>7082.7331648938971</v>
      </c>
      <c r="M42" s="9">
        <f>+M35-M38</f>
        <v>7401.7634853407144</v>
      </c>
      <c r="N42" s="9">
        <f>+N35-N38</f>
        <v>7745.1838793041052</v>
      </c>
    </row>
    <row r="43" spans="1:14" x14ac:dyDescent="0.25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0.27235804502415339</v>
      </c>
      <c r="K43" s="47">
        <f t="shared" si="34"/>
        <v>4.2785078635890095E-2</v>
      </c>
      <c r="L43" s="47">
        <f t="shared" si="34"/>
        <v>4.3844983607915111E-2</v>
      </c>
      <c r="M43" s="47">
        <f t="shared" si="34"/>
        <v>4.5043391162625568E-2</v>
      </c>
      <c r="N43" s="47">
        <f t="shared" si="34"/>
        <v>4.6397104506721742E-2</v>
      </c>
    </row>
    <row r="44" spans="1:14" x14ac:dyDescent="0.25">
      <c r="A44" s="46" t="s">
        <v>131</v>
      </c>
      <c r="B44" s="47">
        <f t="shared" ref="B44:N44" si="35">+IFERROR(B42/B$21,"nm")</f>
        <v>0.26528384279475981</v>
      </c>
      <c r="C44" s="47">
        <f t="shared" si="35"/>
        <v>0.2097430466529179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0.3402973395931142</v>
      </c>
      <c r="K44" s="47">
        <f t="shared" si="35"/>
        <v>0.3402973395931142</v>
      </c>
      <c r="L44" s="47">
        <f t="shared" si="35"/>
        <v>0.34029733959311426</v>
      </c>
      <c r="M44" s="47">
        <f t="shared" si="35"/>
        <v>0.3402973395931142</v>
      </c>
      <c r="N44" s="47">
        <f t="shared" si="35"/>
        <v>0.3402973395931142</v>
      </c>
    </row>
    <row r="45" spans="1:14" x14ac:dyDescent="0.25">
      <c r="A45" s="9" t="s">
        <v>135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8">
        <f>+J21*J47</f>
        <v>152.10983708385552</v>
      </c>
      <c r="K45" s="48">
        <f>+K21*K47</f>
        <v>158.61786842478071</v>
      </c>
      <c r="L45" s="48">
        <f>+L21*L47</f>
        <v>165.57246626578763</v>
      </c>
      <c r="M45" s="48">
        <f>+M21*M47</f>
        <v>173.03041162955816</v>
      </c>
      <c r="N45" s="48">
        <f>+N21*N47</f>
        <v>181.05852172077587</v>
      </c>
    </row>
    <row r="46" spans="1:14" x14ac:dyDescent="0.25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4.18481992044899E-2</v>
      </c>
      <c r="K46" s="47">
        <f t="shared" si="36"/>
        <v>4.2785078635890095E-2</v>
      </c>
      <c r="L46" s="47">
        <f t="shared" si="36"/>
        <v>4.3844983607914889E-2</v>
      </c>
      <c r="M46" s="47">
        <f t="shared" si="36"/>
        <v>4.504339116262579E-2</v>
      </c>
      <c r="N46" s="47">
        <f t="shared" si="36"/>
        <v>4.6397104506721965E-2</v>
      </c>
    </row>
    <row r="47" spans="1:14" x14ac:dyDescent="0.25">
      <c r="A47" s="46" t="s">
        <v>133</v>
      </c>
      <c r="B47" s="47">
        <f t="shared" ref="B47:I47" si="37">+IFERROR(B45/B$21,"nm")</f>
        <v>1.5138282387190683E-2</v>
      </c>
      <c r="C47" s="47">
        <f t="shared" si="37"/>
        <v>1.34886572654813E-2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25">
      <c r="A48" s="9" t="s">
        <v>141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73">
        <f>+Historicals!H149</f>
        <v>617</v>
      </c>
      <c r="I48" s="73">
        <f>+Historicals!I149</f>
        <v>639</v>
      </c>
      <c r="J48" s="48">
        <f>+J21*J50</f>
        <v>956.05200000000013</v>
      </c>
      <c r="K48" s="48">
        <f>+K21*K50</f>
        <v>996.95676000000003</v>
      </c>
      <c r="L48" s="48">
        <f>+L21*L50</f>
        <v>1040.6683128000002</v>
      </c>
      <c r="M48" s="48">
        <f>+M21*M50</f>
        <v>1087.5435426840002</v>
      </c>
      <c r="N48" s="48">
        <f>+N21*N50</f>
        <v>1138.0024140895202</v>
      </c>
    </row>
    <row r="49" spans="1:14" x14ac:dyDescent="0.25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0.05</v>
      </c>
      <c r="K49" s="47">
        <f>+K50+K51</f>
        <v>0.05</v>
      </c>
      <c r="L49" s="47">
        <f>+L50+L51</f>
        <v>0.05</v>
      </c>
      <c r="M49" s="47">
        <f>+M50+M51</f>
        <v>0.05</v>
      </c>
      <c r="N49" s="47">
        <f>+N50+N51</f>
        <v>0.05</v>
      </c>
    </row>
    <row r="50" spans="1:14" x14ac:dyDescent="0.25">
      <c r="A50" s="46" t="s">
        <v>133</v>
      </c>
      <c r="B50" s="47" t="str">
        <f>+IFERROR(B48/B$24,"nm")</f>
        <v>nm</v>
      </c>
      <c r="C50" s="47">
        <f t="shared" ref="C50:I50" si="39">+IFERROR(C48/C$21,"nm")</f>
        <v>4.1357783847054234E-2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v>0.05</v>
      </c>
      <c r="K50" s="49">
        <f>+J50</f>
        <v>0.05</v>
      </c>
      <c r="L50" s="49">
        <f>+K50</f>
        <v>0.05</v>
      </c>
      <c r="M50" s="49">
        <f>+L50</f>
        <v>0.05</v>
      </c>
      <c r="N50" s="49">
        <f>+M50</f>
        <v>0.05</v>
      </c>
    </row>
    <row r="51" spans="1:14" x14ac:dyDescent="0.25">
      <c r="A51" s="43" t="str">
        <f>+Historicals!A115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s="9" t="s">
        <v>136</v>
      </c>
      <c r="B52" s="9">
        <f t="shared" ref="B52:I52" si="40">B54+B58+B62</f>
        <v>11024</v>
      </c>
      <c r="C52" s="9">
        <f t="shared" si="40"/>
        <v>7568</v>
      </c>
      <c r="D52" s="9">
        <f t="shared" si="40"/>
        <v>7970</v>
      </c>
      <c r="E52" s="9">
        <f t="shared" si="40"/>
        <v>9242</v>
      </c>
      <c r="F52" s="9">
        <f t="shared" si="40"/>
        <v>9812</v>
      </c>
      <c r="G52" s="9">
        <f t="shared" si="40"/>
        <v>9347</v>
      </c>
      <c r="H52" s="9">
        <f t="shared" si="40"/>
        <v>11456</v>
      </c>
      <c r="I52" s="9">
        <f t="shared" si="40"/>
        <v>12479</v>
      </c>
      <c r="J52" s="59">
        <f>+SUM(J54+J58+J62)</f>
        <v>14605.399999999998</v>
      </c>
      <c r="K52" s="59">
        <f>+SUM(K54+K58+K62)</f>
        <v>17101.669999999998</v>
      </c>
      <c r="L52" s="59">
        <f>+SUM(L54+L58+L62)</f>
        <v>20033.472499999996</v>
      </c>
      <c r="M52" s="59">
        <f>+SUM(M54+M58+M62)</f>
        <v>23478.355774999993</v>
      </c>
      <c r="N52" s="59">
        <f>+SUM(N54+N58+N62)</f>
        <v>27527.94402124999</v>
      </c>
    </row>
    <row r="53" spans="1:14" x14ac:dyDescent="0.25">
      <c r="A53" s="44" t="s">
        <v>129</v>
      </c>
      <c r="B53" s="47" t="str">
        <f t="shared" ref="B53:N53" si="41">+IFERROR(B52/A52-1,"nm")</f>
        <v>nm</v>
      </c>
      <c r="C53" s="47">
        <f t="shared" si="41"/>
        <v>-0.31349782293178519</v>
      </c>
      <c r="D53" s="47">
        <f t="shared" si="41"/>
        <v>5.3118393234672379E-2</v>
      </c>
      <c r="E53" s="47">
        <f t="shared" si="41"/>
        <v>0.15959849435382689</v>
      </c>
      <c r="F53" s="47">
        <f t="shared" si="41"/>
        <v>6.1674962129409261E-2</v>
      </c>
      <c r="G53" s="47">
        <f t="shared" si="41"/>
        <v>-4.7390949857317621E-2</v>
      </c>
      <c r="H53" s="47">
        <f t="shared" si="41"/>
        <v>0.22563389322777372</v>
      </c>
      <c r="I53" s="47">
        <f t="shared" si="41"/>
        <v>8.9298184357541999E-2</v>
      </c>
      <c r="J53" s="65">
        <f t="shared" si="41"/>
        <v>0.17039826909207445</v>
      </c>
      <c r="K53" s="65">
        <f t="shared" si="41"/>
        <v>0.17091418242567813</v>
      </c>
      <c r="L53" s="65">
        <f t="shared" si="41"/>
        <v>0.17143369624136118</v>
      </c>
      <c r="M53" s="65">
        <f t="shared" si="41"/>
        <v>0.17195637326479463</v>
      </c>
      <c r="N53" s="65">
        <f t="shared" si="41"/>
        <v>0.17248176512266866</v>
      </c>
    </row>
    <row r="54" spans="1:14" x14ac:dyDescent="0.25">
      <c r="A54" s="45" t="s">
        <v>113</v>
      </c>
      <c r="B54" s="3">
        <f>+Historicals!B116</f>
        <v>7344</v>
      </c>
      <c r="C54" s="3">
        <f>+Historicals!C116</f>
        <v>5043</v>
      </c>
      <c r="D54" s="3">
        <f>+Historicals!D116</f>
        <v>5192</v>
      </c>
      <c r="E54" s="3">
        <f>+Historicals!E116</f>
        <v>5875</v>
      </c>
      <c r="F54" s="3">
        <f>+Historicals!F116</f>
        <v>6293</v>
      </c>
      <c r="G54" s="3">
        <f>+Historicals!G116</f>
        <v>5892</v>
      </c>
      <c r="H54" s="3">
        <f>+Historicals!H116</f>
        <v>6970</v>
      </c>
      <c r="I54" s="3">
        <f>+Historicals!I116</f>
        <v>7388</v>
      </c>
      <c r="J54" s="59">
        <f>+I54*(1+J55)</f>
        <v>8496.1999999999989</v>
      </c>
      <c r="K54" s="59">
        <f>+J54*(1+K55)</f>
        <v>9770.6299999999974</v>
      </c>
      <c r="L54" s="59">
        <f>+K54*(1+L55)</f>
        <v>11236.224499999997</v>
      </c>
      <c r="M54" s="59">
        <f>+L54*(1+M55)</f>
        <v>12921.658174999995</v>
      </c>
      <c r="N54" s="59">
        <f>+M54*(1+N55)</f>
        <v>14859.906901249993</v>
      </c>
    </row>
    <row r="55" spans="1:14" x14ac:dyDescent="0.25">
      <c r="A55" s="44" t="s">
        <v>129</v>
      </c>
      <c r="B55" s="47" t="str">
        <f t="shared" ref="B55:I55" si="42">+IFERROR(B54/A54-1,"nm")</f>
        <v>nm</v>
      </c>
      <c r="C55" s="47">
        <f t="shared" si="42"/>
        <v>-0.31331699346405228</v>
      </c>
      <c r="D55" s="47">
        <f t="shared" si="42"/>
        <v>2.9545905215149659E-2</v>
      </c>
      <c r="E55" s="47">
        <f t="shared" si="42"/>
        <v>0.1315485362095532</v>
      </c>
      <c r="F55" s="47">
        <f t="shared" si="42"/>
        <v>7.1148936170212673E-2</v>
      </c>
      <c r="G55" s="47">
        <f t="shared" si="42"/>
        <v>-6.3721595423486432E-2</v>
      </c>
      <c r="H55" s="47">
        <f t="shared" si="42"/>
        <v>0.18295994568907004</v>
      </c>
      <c r="I55" s="47">
        <f t="shared" si="42"/>
        <v>5.9971305595408975E-2</v>
      </c>
      <c r="J55" s="65">
        <f>+J56+J57</f>
        <v>0.15</v>
      </c>
      <c r="K55" s="65">
        <f>+K56+K57</f>
        <v>0.15</v>
      </c>
      <c r="L55" s="65">
        <f>+L56+L57</f>
        <v>0.15</v>
      </c>
      <c r="M55" s="65">
        <f>+M56+M57</f>
        <v>0.15</v>
      </c>
      <c r="N55" s="65">
        <f>+N56+N57</f>
        <v>0.15</v>
      </c>
    </row>
    <row r="56" spans="1:14" x14ac:dyDescent="0.25">
      <c r="A56" s="44" t="s">
        <v>137</v>
      </c>
      <c r="B56" s="47">
        <f>+Historicals!B188</f>
        <v>0</v>
      </c>
      <c r="C56" s="47">
        <f>+Historicals!C188</f>
        <v>-0.31331699346405228</v>
      </c>
      <c r="D56" s="47">
        <f>+Historicals!D188</f>
        <v>2.9545905215149711E-2</v>
      </c>
      <c r="E56" s="47">
        <f>+Historicals!E188</f>
        <v>0.13154853620955315</v>
      </c>
      <c r="F56" s="47">
        <f>+Historicals!F188</f>
        <v>7.114893617021277E-2</v>
      </c>
      <c r="G56" s="47">
        <f>+Historicals!G188</f>
        <v>-6.3721595423486418E-2</v>
      </c>
      <c r="H56" s="47">
        <f>+Historicals!H188</f>
        <v>0.18295994568906992</v>
      </c>
      <c r="I56" s="47">
        <f>+Historicals!I188</f>
        <v>0.09</v>
      </c>
      <c r="J56" s="65">
        <v>0.15</v>
      </c>
      <c r="K56" s="65">
        <f t="shared" ref="K56:N57" si="43">+J56</f>
        <v>0.15</v>
      </c>
      <c r="L56" s="65">
        <f t="shared" si="43"/>
        <v>0.15</v>
      </c>
      <c r="M56" s="65">
        <f t="shared" si="43"/>
        <v>0.15</v>
      </c>
      <c r="N56" s="65">
        <f t="shared" si="43"/>
        <v>0.15</v>
      </c>
    </row>
    <row r="57" spans="1:14" x14ac:dyDescent="0.25">
      <c r="A57" s="44" t="s">
        <v>138</v>
      </c>
      <c r="B57" s="47" t="str">
        <f t="shared" ref="B57:I57" si="44">+IFERROR(B55-B56,"nm")</f>
        <v>nm</v>
      </c>
      <c r="C57" s="47">
        <f t="shared" si="44"/>
        <v>0</v>
      </c>
      <c r="D57" s="47">
        <f t="shared" si="44"/>
        <v>-5.2041704279304213E-17</v>
      </c>
      <c r="E57" s="47">
        <f t="shared" si="44"/>
        <v>5.5511151231257827E-17</v>
      </c>
      <c r="F57" s="47">
        <f t="shared" si="44"/>
        <v>-9.7144514654701197E-17</v>
      </c>
      <c r="G57" s="47">
        <f t="shared" si="44"/>
        <v>-1.3877787807814457E-17</v>
      </c>
      <c r="H57" s="47">
        <f t="shared" si="44"/>
        <v>1.1102230246251565E-16</v>
      </c>
      <c r="I57" s="47">
        <f t="shared" si="44"/>
        <v>-3.0028694404591022E-2</v>
      </c>
      <c r="J57" s="65">
        <v>0</v>
      </c>
      <c r="K57" s="65">
        <f t="shared" si="43"/>
        <v>0</v>
      </c>
      <c r="L57" s="65">
        <f t="shared" si="43"/>
        <v>0</v>
      </c>
      <c r="M57" s="65">
        <f t="shared" si="43"/>
        <v>0</v>
      </c>
      <c r="N57" s="65">
        <f t="shared" si="43"/>
        <v>0</v>
      </c>
    </row>
    <row r="58" spans="1:14" x14ac:dyDescent="0.25">
      <c r="A58" s="45" t="s">
        <v>114</v>
      </c>
      <c r="B58" s="3">
        <f>+Historicals!B117</f>
        <v>3072</v>
      </c>
      <c r="C58" s="3">
        <f>+Historicals!C117</f>
        <v>2149</v>
      </c>
      <c r="D58" s="3">
        <f>+Historicals!D117</f>
        <v>2395</v>
      </c>
      <c r="E58" s="3">
        <f>+Historicals!E117</f>
        <v>2940</v>
      </c>
      <c r="F58" s="3">
        <f>+Historicals!F117</f>
        <v>3087</v>
      </c>
      <c r="G58" s="3">
        <f>+Historicals!G117</f>
        <v>3053</v>
      </c>
      <c r="H58" s="3">
        <f>+Historicals!H117</f>
        <v>3996</v>
      </c>
      <c r="I58" s="3">
        <f>+Historicals!I117</f>
        <v>4527</v>
      </c>
      <c r="J58" s="59">
        <f>+I58*(1+J59)</f>
        <v>5432.4</v>
      </c>
      <c r="K58" s="59">
        <f>+J58*(1+K59)</f>
        <v>6518.8799999999992</v>
      </c>
      <c r="L58" s="59">
        <f>+K58*(1+L59)</f>
        <v>7822.655999999999</v>
      </c>
      <c r="M58" s="59">
        <f>+L58*(1+M59)</f>
        <v>9387.1871999999985</v>
      </c>
      <c r="N58" s="59">
        <f>+M58*(1+N59)</f>
        <v>11264.624639999998</v>
      </c>
    </row>
    <row r="59" spans="1:14" x14ac:dyDescent="0.25">
      <c r="A59" s="44" t="s">
        <v>129</v>
      </c>
      <c r="B59" s="47" t="str">
        <f t="shared" ref="B59:I59" si="45">+IFERROR(B58/A58-1,"nm")</f>
        <v>nm</v>
      </c>
      <c r="C59" s="47">
        <f t="shared" si="45"/>
        <v>-0.30045572916666663</v>
      </c>
      <c r="D59" s="47">
        <f t="shared" si="45"/>
        <v>0.11447184737087013</v>
      </c>
      <c r="E59" s="47">
        <f t="shared" si="45"/>
        <v>0.22755741127348639</v>
      </c>
      <c r="F59" s="47">
        <f t="shared" si="45"/>
        <v>5.0000000000000044E-2</v>
      </c>
      <c r="G59" s="47">
        <f t="shared" si="45"/>
        <v>-1.1013929381276322E-2</v>
      </c>
      <c r="H59" s="47">
        <f t="shared" si="45"/>
        <v>0.30887651490337364</v>
      </c>
      <c r="I59" s="47">
        <f t="shared" si="45"/>
        <v>0.13288288288288297</v>
      </c>
      <c r="J59" s="65">
        <f>+J60+J61</f>
        <v>0.2</v>
      </c>
      <c r="K59" s="65">
        <f>+K60+K61</f>
        <v>0.2</v>
      </c>
      <c r="L59" s="65">
        <f>+L60+L61</f>
        <v>0.2</v>
      </c>
      <c r="M59" s="65">
        <f>+M60+M61</f>
        <v>0.2</v>
      </c>
      <c r="N59" s="65">
        <f>+N60+N61</f>
        <v>0.2</v>
      </c>
    </row>
    <row r="60" spans="1:14" x14ac:dyDescent="0.25">
      <c r="A60" s="44" t="s">
        <v>137</v>
      </c>
      <c r="B60" s="47">
        <f>+Historicals!B189</f>
        <v>0</v>
      </c>
      <c r="C60" s="47">
        <f>+Historicals!C189</f>
        <v>-0.30045572916666669</v>
      </c>
      <c r="D60" s="47">
        <f>+Historicals!D189</f>
        <v>0.11447184737087017</v>
      </c>
      <c r="E60" s="47">
        <f>+Historicals!E189</f>
        <v>0.22755741127348644</v>
      </c>
      <c r="F60" s="47">
        <f>+Historicals!F189</f>
        <v>0.05</v>
      </c>
      <c r="G60" s="47">
        <f>+Historicals!G189</f>
        <v>-1.101392938127632E-2</v>
      </c>
      <c r="H60" s="47">
        <f>+Historicals!H189</f>
        <v>0.30887651490337376</v>
      </c>
      <c r="I60" s="47">
        <f>+Historicals!I189</f>
        <v>0.16</v>
      </c>
      <c r="J60" s="65">
        <v>0.2</v>
      </c>
      <c r="K60" s="65">
        <f t="shared" ref="K60:N61" si="46">+J60</f>
        <v>0.2</v>
      </c>
      <c r="L60" s="65">
        <f t="shared" si="46"/>
        <v>0.2</v>
      </c>
      <c r="M60" s="65">
        <f t="shared" si="46"/>
        <v>0.2</v>
      </c>
      <c r="N60" s="65">
        <f t="shared" si="46"/>
        <v>0.2</v>
      </c>
    </row>
    <row r="61" spans="1:14" x14ac:dyDescent="0.25">
      <c r="A61" s="44" t="s">
        <v>138</v>
      </c>
      <c r="B61" s="47" t="str">
        <f t="shared" ref="B61:I61" si="47">+IFERROR(B59-B60,"nm")</f>
        <v>nm</v>
      </c>
      <c r="C61" s="47">
        <f t="shared" si="47"/>
        <v>5.5511151231257827E-17</v>
      </c>
      <c r="D61" s="47">
        <f t="shared" si="47"/>
        <v>-4.163336342344337E-17</v>
      </c>
      <c r="E61" s="47">
        <f t="shared" si="47"/>
        <v>-5.5511151231257827E-17</v>
      </c>
      <c r="F61" s="47">
        <f t="shared" si="47"/>
        <v>4.163336342344337E-17</v>
      </c>
      <c r="G61" s="47">
        <f t="shared" si="47"/>
        <v>-1.7347234759768071E-18</v>
      </c>
      <c r="H61" s="47">
        <f t="shared" si="47"/>
        <v>-1.1102230246251565E-16</v>
      </c>
      <c r="I61" s="47">
        <f t="shared" si="47"/>
        <v>-2.7117117117117034E-2</v>
      </c>
      <c r="J61" s="65">
        <v>0</v>
      </c>
      <c r="K61" s="65">
        <f t="shared" si="46"/>
        <v>0</v>
      </c>
      <c r="L61" s="65">
        <f t="shared" si="46"/>
        <v>0</v>
      </c>
      <c r="M61" s="65">
        <f t="shared" si="46"/>
        <v>0</v>
      </c>
      <c r="N61" s="65">
        <f t="shared" si="46"/>
        <v>0</v>
      </c>
    </row>
    <row r="62" spans="1:14" x14ac:dyDescent="0.25">
      <c r="A62" s="45" t="s">
        <v>115</v>
      </c>
      <c r="B62" s="3">
        <f>+Historicals!B118</f>
        <v>608</v>
      </c>
      <c r="C62" s="3">
        <f>+Historicals!C118</f>
        <v>376</v>
      </c>
      <c r="D62" s="3">
        <f>+Historicals!D118</f>
        <v>383</v>
      </c>
      <c r="E62" s="3">
        <f>+Historicals!E118</f>
        <v>427</v>
      </c>
      <c r="F62" s="3">
        <f>+Historicals!F118</f>
        <v>432</v>
      </c>
      <c r="G62" s="3">
        <f>+Historicals!G118</f>
        <v>402</v>
      </c>
      <c r="H62" s="3">
        <f>+Historicals!H118</f>
        <v>490</v>
      </c>
      <c r="I62" s="3">
        <f>+Historicals!I118</f>
        <v>564</v>
      </c>
      <c r="J62" s="59">
        <f>+I62*(1+J63)</f>
        <v>676.8</v>
      </c>
      <c r="K62" s="59">
        <f>+J62*(1+K63)</f>
        <v>812.16</v>
      </c>
      <c r="L62" s="59">
        <f>+K62*(1+L63)</f>
        <v>974.59199999999987</v>
      </c>
      <c r="M62" s="59">
        <f>+L62*(1+M63)</f>
        <v>1169.5103999999999</v>
      </c>
      <c r="N62" s="59">
        <f>+M62*(1+N63)</f>
        <v>1403.4124799999997</v>
      </c>
    </row>
    <row r="63" spans="1:14" x14ac:dyDescent="0.25">
      <c r="A63" s="44" t="s">
        <v>129</v>
      </c>
      <c r="B63" s="47" t="str">
        <f t="shared" ref="B63:I63" si="48">+IFERROR(B62/A62-1,"nm")</f>
        <v>nm</v>
      </c>
      <c r="C63" s="47">
        <f t="shared" si="48"/>
        <v>-0.38157894736842102</v>
      </c>
      <c r="D63" s="47">
        <f t="shared" si="48"/>
        <v>1.8617021276595702E-2</v>
      </c>
      <c r="E63" s="47">
        <f t="shared" si="48"/>
        <v>0.11488250652741505</v>
      </c>
      <c r="F63" s="47">
        <f t="shared" si="48"/>
        <v>1.1709601873536313E-2</v>
      </c>
      <c r="G63" s="47">
        <f t="shared" si="48"/>
        <v>-6.944444444444442E-2</v>
      </c>
      <c r="H63" s="47">
        <f t="shared" si="48"/>
        <v>0.21890547263681581</v>
      </c>
      <c r="I63" s="47">
        <f t="shared" si="48"/>
        <v>0.15102040816326534</v>
      </c>
      <c r="J63" s="65">
        <f>+J64+J65</f>
        <v>0.2</v>
      </c>
      <c r="K63" s="65">
        <f>+K64+K65</f>
        <v>0.2</v>
      </c>
      <c r="L63" s="65">
        <f>+L64+L65</f>
        <v>0.2</v>
      </c>
      <c r="M63" s="65">
        <f>+M64+M65</f>
        <v>0.2</v>
      </c>
      <c r="N63" s="65">
        <f>+N64+N65</f>
        <v>0.2</v>
      </c>
    </row>
    <row r="64" spans="1:14" x14ac:dyDescent="0.25">
      <c r="A64" s="44" t="s">
        <v>137</v>
      </c>
      <c r="B64" s="47">
        <f>+Historicals!B190</f>
        <v>0</v>
      </c>
      <c r="C64" s="47">
        <f>+Historicals!C190</f>
        <v>-0.38157894736842107</v>
      </c>
      <c r="D64" s="47">
        <f>+Historicals!D190</f>
        <v>1.8617021276595744E-2</v>
      </c>
      <c r="E64" s="47">
        <f>+Historicals!E190</f>
        <v>0.11488250652741515</v>
      </c>
      <c r="F64" s="47">
        <f>+Historicals!F190</f>
        <v>1.1709601873536301E-2</v>
      </c>
      <c r="G64" s="47">
        <f>+Historicals!G190</f>
        <v>-6.9444444444444448E-2</v>
      </c>
      <c r="H64" s="47">
        <f>+Historicals!H190</f>
        <v>0.21890547263681592</v>
      </c>
      <c r="I64" s="47">
        <f>+Historicals!I190</f>
        <v>0.17</v>
      </c>
      <c r="J64" s="65">
        <v>0.2</v>
      </c>
      <c r="K64" s="65">
        <f t="shared" ref="K64:N65" si="49">+J64</f>
        <v>0.2</v>
      </c>
      <c r="L64" s="65">
        <f t="shared" si="49"/>
        <v>0.2</v>
      </c>
      <c r="M64" s="65">
        <f t="shared" si="49"/>
        <v>0.2</v>
      </c>
      <c r="N64" s="65">
        <f t="shared" si="49"/>
        <v>0.2</v>
      </c>
    </row>
    <row r="65" spans="1:14" x14ac:dyDescent="0.25">
      <c r="A65" s="44" t="s">
        <v>138</v>
      </c>
      <c r="B65" s="47" t="str">
        <f t="shared" ref="B65:I65" si="50">+IFERROR(B63-B64,"nm")</f>
        <v>nm</v>
      </c>
      <c r="C65" s="47">
        <f t="shared" si="50"/>
        <v>5.5511151231257827E-17</v>
      </c>
      <c r="D65" s="47">
        <f t="shared" si="50"/>
        <v>-4.163336342344337E-17</v>
      </c>
      <c r="E65" s="47">
        <f t="shared" si="50"/>
        <v>-9.7144514654701197E-17</v>
      </c>
      <c r="F65" s="47">
        <f t="shared" si="50"/>
        <v>1.214306433183765E-17</v>
      </c>
      <c r="G65" s="47">
        <f t="shared" si="50"/>
        <v>2.7755575615628914E-17</v>
      </c>
      <c r="H65" s="47">
        <f t="shared" si="50"/>
        <v>-1.1102230246251565E-16</v>
      </c>
      <c r="I65" s="47">
        <f t="shared" si="50"/>
        <v>-1.8979591836734672E-2</v>
      </c>
      <c r="J65" s="65">
        <v>0</v>
      </c>
      <c r="K65" s="65">
        <f t="shared" si="49"/>
        <v>0</v>
      </c>
      <c r="L65" s="65">
        <f t="shared" si="49"/>
        <v>0</v>
      </c>
      <c r="M65" s="65">
        <f t="shared" si="49"/>
        <v>0</v>
      </c>
      <c r="N65" s="65">
        <f t="shared" si="49"/>
        <v>0</v>
      </c>
    </row>
    <row r="66" spans="1:14" x14ac:dyDescent="0.25">
      <c r="A66" s="9" t="s">
        <v>130</v>
      </c>
      <c r="B66" s="48">
        <f t="shared" ref="B66:I66" si="51">+B73+B69</f>
        <v>2456</v>
      </c>
      <c r="C66" s="48">
        <f t="shared" si="51"/>
        <v>1872</v>
      </c>
      <c r="D66" s="48">
        <f t="shared" si="51"/>
        <v>1613</v>
      </c>
      <c r="E66" s="48">
        <f t="shared" si="51"/>
        <v>1703</v>
      </c>
      <c r="F66" s="48">
        <f t="shared" si="51"/>
        <v>2106</v>
      </c>
      <c r="G66" s="48">
        <f t="shared" si="51"/>
        <v>1673</v>
      </c>
      <c r="H66" s="48">
        <f t="shared" si="51"/>
        <v>2571</v>
      </c>
      <c r="I66" s="48">
        <f t="shared" si="51"/>
        <v>3427</v>
      </c>
      <c r="J66" s="59">
        <f>+J52*J68</f>
        <v>4381.619999999999</v>
      </c>
      <c r="K66" s="59">
        <f>+K52*K68</f>
        <v>5130.5009999999993</v>
      </c>
      <c r="L66" s="59">
        <f>+L52*L68</f>
        <v>6010.0417499999985</v>
      </c>
      <c r="M66" s="59">
        <f>+M52*M68</f>
        <v>7043.5067324999973</v>
      </c>
      <c r="N66" s="59">
        <f>+N52*N68</f>
        <v>8258.383206374996</v>
      </c>
    </row>
    <row r="67" spans="1:14" x14ac:dyDescent="0.25">
      <c r="A67" s="46" t="s">
        <v>129</v>
      </c>
      <c r="B67" s="47" t="str">
        <f t="shared" ref="B67:N67" si="52">+IFERROR(B66/A66-1,"nm")</f>
        <v>nm</v>
      </c>
      <c r="C67" s="47">
        <f t="shared" si="52"/>
        <v>-0.23778501628664495</v>
      </c>
      <c r="D67" s="47">
        <f t="shared" si="52"/>
        <v>-0.13835470085470081</v>
      </c>
      <c r="E67" s="47">
        <f t="shared" si="52"/>
        <v>5.5796652200867936E-2</v>
      </c>
      <c r="F67" s="47">
        <f t="shared" si="52"/>
        <v>0.23664122137404586</v>
      </c>
      <c r="G67" s="47">
        <f t="shared" si="52"/>
        <v>-0.20560303893637222</v>
      </c>
      <c r="H67" s="47">
        <f t="shared" si="52"/>
        <v>0.53676031081888831</v>
      </c>
      <c r="I67" s="47">
        <f t="shared" si="52"/>
        <v>0.33294437961882539</v>
      </c>
      <c r="J67" s="65">
        <f t="shared" si="52"/>
        <v>0.27855850598190801</v>
      </c>
      <c r="K67" s="65">
        <f t="shared" si="52"/>
        <v>0.17091418242567835</v>
      </c>
      <c r="L67" s="65">
        <f t="shared" si="52"/>
        <v>0.17143369624136118</v>
      </c>
      <c r="M67" s="65">
        <f t="shared" si="52"/>
        <v>0.17195637326479463</v>
      </c>
      <c r="N67" s="65">
        <f t="shared" si="52"/>
        <v>0.17248176512266844</v>
      </c>
    </row>
    <row r="68" spans="1:14" x14ac:dyDescent="0.25">
      <c r="A68" s="46" t="s">
        <v>131</v>
      </c>
      <c r="B68" s="47">
        <f t="shared" ref="B68:I68" si="53">+IFERROR(B66/B$52,"nm")</f>
        <v>0.22278664731494921</v>
      </c>
      <c r="C68" s="47">
        <f t="shared" si="53"/>
        <v>0.24735729386892177</v>
      </c>
      <c r="D68" s="47">
        <f t="shared" si="53"/>
        <v>0.20238393977415309</v>
      </c>
      <c r="E68" s="47">
        <f t="shared" si="53"/>
        <v>0.18426747457260334</v>
      </c>
      <c r="F68" s="47">
        <f t="shared" si="53"/>
        <v>0.21463514064410924</v>
      </c>
      <c r="G68" s="47">
        <f t="shared" si="53"/>
        <v>0.17898791055953783</v>
      </c>
      <c r="H68" s="47">
        <f t="shared" si="53"/>
        <v>0.22442388268156424</v>
      </c>
      <c r="I68" s="47">
        <f t="shared" si="53"/>
        <v>0.27462136389133746</v>
      </c>
      <c r="J68" s="65">
        <v>0.3</v>
      </c>
      <c r="K68" s="65">
        <f>+J68</f>
        <v>0.3</v>
      </c>
      <c r="L68" s="65">
        <f>+K68</f>
        <v>0.3</v>
      </c>
      <c r="M68" s="65">
        <f>+L68</f>
        <v>0.3</v>
      </c>
      <c r="N68" s="65">
        <f>+M68</f>
        <v>0.3</v>
      </c>
    </row>
    <row r="69" spans="1:14" x14ac:dyDescent="0.25">
      <c r="A69" s="9" t="s">
        <v>132</v>
      </c>
      <c r="B69" s="9">
        <f>+Historicals!B172</f>
        <v>114</v>
      </c>
      <c r="C69" s="9">
        <f>+Historicals!C172</f>
        <v>85</v>
      </c>
      <c r="D69" s="9">
        <f>+Historicals!D172</f>
        <v>106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59">
        <f>+J72*J79</f>
        <v>191.4577434782608</v>
      </c>
      <c r="K69" s="59">
        <f>+K72*K79</f>
        <v>224.18058717391301</v>
      </c>
      <c r="L69" s="59">
        <f>+L72*L79</f>
        <v>262.61269385869559</v>
      </c>
      <c r="M69" s="59">
        <f>+M72*M79</f>
        <v>307.77062026793465</v>
      </c>
      <c r="N69" s="59">
        <f>+N72*N79</f>
        <v>360.85544010464656</v>
      </c>
    </row>
    <row r="70" spans="1:14" x14ac:dyDescent="0.25">
      <c r="A70" s="46" t="s">
        <v>129</v>
      </c>
      <c r="B70" s="47" t="str">
        <f t="shared" ref="B70:N70" si="54">+IFERROR(B69/A69-1,"nm")</f>
        <v>nm</v>
      </c>
      <c r="C70" s="47">
        <f t="shared" si="54"/>
        <v>-0.25438596491228072</v>
      </c>
      <c r="D70" s="47">
        <f t="shared" si="54"/>
        <v>0.24705882352941178</v>
      </c>
      <c r="E70" s="47">
        <f t="shared" si="54"/>
        <v>9.4339622641509413E-2</v>
      </c>
      <c r="F70" s="47">
        <f t="shared" si="54"/>
        <v>-4.31034482758621E-2</v>
      </c>
      <c r="G70" s="47">
        <f t="shared" si="54"/>
        <v>0.18918918918918926</v>
      </c>
      <c r="H70" s="47">
        <f t="shared" si="54"/>
        <v>3.0303030303030276E-2</v>
      </c>
      <c r="I70" s="47">
        <f t="shared" si="54"/>
        <v>-1.4705882352941124E-2</v>
      </c>
      <c r="J70" s="65">
        <f t="shared" si="54"/>
        <v>0.42878913043478195</v>
      </c>
      <c r="K70" s="65">
        <f t="shared" si="54"/>
        <v>0.17091418242567835</v>
      </c>
      <c r="L70" s="65">
        <f t="shared" si="54"/>
        <v>0.17143369624136118</v>
      </c>
      <c r="M70" s="65">
        <f t="shared" si="54"/>
        <v>0.1719563732647944</v>
      </c>
      <c r="N70" s="65">
        <f t="shared" si="54"/>
        <v>0.17248176512266844</v>
      </c>
    </row>
    <row r="71" spans="1:14" x14ac:dyDescent="0.25">
      <c r="A71" s="46" t="s">
        <v>133</v>
      </c>
      <c r="B71" s="47">
        <f t="shared" ref="B71:I71" si="55">+IFERROR(B69/B$52,"nm")</f>
        <v>1.0341074020319304E-2</v>
      </c>
      <c r="C71" s="47">
        <f t="shared" si="55"/>
        <v>1.1231501057082453E-2</v>
      </c>
      <c r="D71" s="47">
        <f t="shared" si="55"/>
        <v>1.3299874529485571E-2</v>
      </c>
      <c r="E71" s="47">
        <f t="shared" si="55"/>
        <v>1.2551395801774508E-2</v>
      </c>
      <c r="F71" s="47">
        <f t="shared" si="55"/>
        <v>1.1312678353037097E-2</v>
      </c>
      <c r="G71" s="47">
        <f t="shared" si="55"/>
        <v>1.4122178239007167E-2</v>
      </c>
      <c r="H71" s="47">
        <f t="shared" si="55"/>
        <v>1.1871508379888268E-2</v>
      </c>
      <c r="I71" s="47">
        <f t="shared" si="55"/>
        <v>1.0738039907043834E-2</v>
      </c>
      <c r="J71" s="65">
        <f>+IFERROR(J69/J$21,"nm")</f>
        <v>1.0012935670772133E-2</v>
      </c>
      <c r="K71" s="65">
        <f>+IFERROR(K69/K$21,"nm")</f>
        <v>1.1243245252377496E-2</v>
      </c>
      <c r="L71" s="65">
        <f>+IFERROR(L69/L$21,"nm")</f>
        <v>1.2617502168011413E-2</v>
      </c>
      <c r="M71" s="65">
        <f>+IFERROR(M69/M$21,"nm")</f>
        <v>1.4149806798005208E-2</v>
      </c>
      <c r="N71" s="65">
        <f>+IFERROR(N69/N$21,"nm")</f>
        <v>1.5854774807018121E-2</v>
      </c>
    </row>
    <row r="72" spans="1:14" x14ac:dyDescent="0.25">
      <c r="A72" s="46" t="s">
        <v>140</v>
      </c>
      <c r="B72" s="47">
        <f t="shared" ref="B72:I72" si="56">+IFERROR(B69/B79,"nm")</f>
        <v>0.18968386023294509</v>
      </c>
      <c r="C72" s="47">
        <f t="shared" si="56"/>
        <v>0.11363636363636363</v>
      </c>
      <c r="D72" s="47">
        <f t="shared" si="56"/>
        <v>0.14950634696755993</v>
      </c>
      <c r="E72" s="47">
        <f t="shared" si="56"/>
        <v>0.13663133097762073</v>
      </c>
      <c r="F72" s="47">
        <f t="shared" si="56"/>
        <v>0.11948331539289558</v>
      </c>
      <c r="G72" s="47">
        <f t="shared" si="56"/>
        <v>0.14915254237288136</v>
      </c>
      <c r="H72" s="47">
        <f t="shared" si="56"/>
        <v>0.1384928716904277</v>
      </c>
      <c r="I72" s="47">
        <f t="shared" si="56"/>
        <v>0.14565217391304347</v>
      </c>
      <c r="J72" s="65">
        <f>+I72</f>
        <v>0.14565217391304347</v>
      </c>
      <c r="K72" s="65">
        <f>+J72</f>
        <v>0.14565217391304347</v>
      </c>
      <c r="L72" s="65">
        <f>+K72</f>
        <v>0.14565217391304347</v>
      </c>
      <c r="M72" s="65">
        <f>+L72</f>
        <v>0.14565217391304347</v>
      </c>
      <c r="N72" s="65">
        <f>+M72</f>
        <v>0.14565217391304347</v>
      </c>
    </row>
    <row r="73" spans="1:14" x14ac:dyDescent="0.25">
      <c r="A73" s="9" t="s">
        <v>134</v>
      </c>
      <c r="B73" s="9">
        <f>+Historicals!B139</f>
        <v>2342</v>
      </c>
      <c r="C73" s="9">
        <f>+Historicals!C139</f>
        <v>1787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59">
        <f>+J66-J69</f>
        <v>4190.1622565217385</v>
      </c>
      <c r="K73" s="59">
        <f>+K66-K69</f>
        <v>4906.3204128260859</v>
      </c>
      <c r="L73" s="59">
        <f>+L66-L69</f>
        <v>5747.4290561413027</v>
      </c>
      <c r="M73" s="59">
        <f>+M66-M69</f>
        <v>6735.7361122320626</v>
      </c>
      <c r="N73" s="59">
        <f>+N66-N69</f>
        <v>7897.5277662703493</v>
      </c>
    </row>
    <row r="74" spans="1:14" x14ac:dyDescent="0.25">
      <c r="A74" s="46" t="s">
        <v>129</v>
      </c>
      <c r="B74" s="47" t="str">
        <f t="shared" ref="B74:N74" si="57">+IFERROR(B73/A73-1,"nm")</f>
        <v>nm</v>
      </c>
      <c r="C74" s="47">
        <f t="shared" si="57"/>
        <v>-0.23697694278394532</v>
      </c>
      <c r="D74" s="47">
        <f t="shared" si="57"/>
        <v>-0.15668718522663683</v>
      </c>
      <c r="E74" s="47">
        <f t="shared" si="57"/>
        <v>5.3085600530855981E-2</v>
      </c>
      <c r="F74" s="47">
        <f t="shared" si="57"/>
        <v>0.25708884688090738</v>
      </c>
      <c r="G74" s="47">
        <f t="shared" si="57"/>
        <v>-0.22756892230576442</v>
      </c>
      <c r="H74" s="47">
        <f t="shared" si="57"/>
        <v>0.58014276443867629</v>
      </c>
      <c r="I74" s="47">
        <f t="shared" si="57"/>
        <v>0.3523613963039014</v>
      </c>
      <c r="J74" s="65">
        <f t="shared" si="57"/>
        <v>0.27244526465889418</v>
      </c>
      <c r="K74" s="65">
        <f t="shared" si="57"/>
        <v>0.17091418242567813</v>
      </c>
      <c r="L74" s="65">
        <f t="shared" si="57"/>
        <v>0.17143369624136118</v>
      </c>
      <c r="M74" s="65">
        <f t="shared" si="57"/>
        <v>0.17195637326479463</v>
      </c>
      <c r="N74" s="65">
        <f t="shared" si="57"/>
        <v>0.17248176512266844</v>
      </c>
    </row>
    <row r="75" spans="1:14" x14ac:dyDescent="0.25">
      <c r="A75" s="46" t="s">
        <v>131</v>
      </c>
      <c r="B75" s="47">
        <f t="shared" ref="B75:I75" si="58">+IFERROR(B73/B$52,"nm")</f>
        <v>0.2124455732946299</v>
      </c>
      <c r="C75" s="47">
        <f t="shared" si="58"/>
        <v>0.23612579281183932</v>
      </c>
      <c r="D75" s="47">
        <f t="shared" si="58"/>
        <v>0.1890840652446675</v>
      </c>
      <c r="E75" s="47">
        <f t="shared" si="58"/>
        <v>0.17171607877082881</v>
      </c>
      <c r="F75" s="47">
        <f t="shared" si="58"/>
        <v>0.20332246229107215</v>
      </c>
      <c r="G75" s="47">
        <f t="shared" si="58"/>
        <v>0.16486573232053064</v>
      </c>
      <c r="H75" s="47">
        <f t="shared" si="58"/>
        <v>0.21255237430167598</v>
      </c>
      <c r="I75" s="47">
        <f t="shared" si="58"/>
        <v>0.26388332398429359</v>
      </c>
      <c r="J75" s="65">
        <f>+IFERROR(J73/J$21,"nm")</f>
        <v>0.21913882594888867</v>
      </c>
      <c r="K75" s="65">
        <f>+IFERROR(K73/K$21,"nm")</f>
        <v>0.24606485505078904</v>
      </c>
      <c r="L75" s="65">
        <f>+IFERROR(L73/L$21,"nm")</f>
        <v>0.27614125391583183</v>
      </c>
      <c r="M75" s="65">
        <f>+IFERROR(M73/M$21,"nm")</f>
        <v>0.30967661743494979</v>
      </c>
      <c r="N75" s="65">
        <f>+IFERROR(N73/N$21,"nm")</f>
        <v>0.3469908177914065</v>
      </c>
    </row>
    <row r="76" spans="1:14" x14ac:dyDescent="0.25">
      <c r="A76" s="9" t="s">
        <v>135</v>
      </c>
      <c r="B76" s="9">
        <f>+Historicals!B161</f>
        <v>273</v>
      </c>
      <c r="C76" s="9">
        <f>+Historicals!C161</f>
        <v>234</v>
      </c>
      <c r="D76" s="9">
        <f>+Historicals!D161</f>
        <v>173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59">
        <f>+J52*J78</f>
        <v>230.56845901113866</v>
      </c>
      <c r="K76" s="59">
        <f>+K52*K78</f>
        <v>269.97587867617591</v>
      </c>
      <c r="L76" s="59">
        <f>+L52*L78</f>
        <v>316.25884145364205</v>
      </c>
      <c r="M76" s="59">
        <f>+M52*M78</f>
        <v>370.64156484293596</v>
      </c>
      <c r="N76" s="59">
        <f>+N52*N78</f>
        <v>434.57047617487359</v>
      </c>
    </row>
    <row r="77" spans="1:14" x14ac:dyDescent="0.25">
      <c r="A77" s="46" t="s">
        <v>129</v>
      </c>
      <c r="B77" s="47" t="str">
        <f t="shared" ref="B77:I77" si="59">+IFERROR(B76/A76-1,"nm")</f>
        <v>nm</v>
      </c>
      <c r="C77" s="47">
        <f t="shared" si="59"/>
        <v>-0.1428571428571429</v>
      </c>
      <c r="D77" s="47">
        <f t="shared" si="59"/>
        <v>-0.26068376068376065</v>
      </c>
      <c r="E77" s="47">
        <f t="shared" si="59"/>
        <v>0.38728323699421963</v>
      </c>
      <c r="F77" s="47">
        <f t="shared" si="59"/>
        <v>-2.9166666666666674E-2</v>
      </c>
      <c r="G77" s="47">
        <f t="shared" si="59"/>
        <v>-0.40343347639484983</v>
      </c>
      <c r="H77" s="47">
        <f t="shared" si="59"/>
        <v>0.10071942446043169</v>
      </c>
      <c r="I77" s="47">
        <f t="shared" si="59"/>
        <v>0.28758169934640532</v>
      </c>
      <c r="J77" s="65">
        <v>0</v>
      </c>
      <c r="K77" s="65">
        <f>+IFERROR(K76/J76-1,"nm")</f>
        <v>0.17091418242567813</v>
      </c>
      <c r="L77" s="65">
        <f>+IFERROR(L76/K76-1,"nm")</f>
        <v>0.17143369624136118</v>
      </c>
      <c r="M77" s="65">
        <f>+IFERROR(M76/L76-1,"nm")</f>
        <v>0.1719563732647944</v>
      </c>
      <c r="N77" s="65">
        <f>+IFERROR(N76/M76-1,"nm")</f>
        <v>0.17248176512266866</v>
      </c>
    </row>
    <row r="78" spans="1:14" x14ac:dyDescent="0.25">
      <c r="A78" s="46" t="s">
        <v>133</v>
      </c>
      <c r="B78" s="47">
        <f t="shared" ref="B78:I78" si="60">+IFERROR(B76/B$52,"nm")</f>
        <v>2.4764150943396228E-2</v>
      </c>
      <c r="C78" s="47">
        <f t="shared" si="60"/>
        <v>3.0919661733615222E-2</v>
      </c>
      <c r="D78" s="47">
        <f t="shared" si="60"/>
        <v>2.1706398996235884E-2</v>
      </c>
      <c r="E78" s="47">
        <f t="shared" si="60"/>
        <v>2.5968405107119671E-2</v>
      </c>
      <c r="F78" s="47">
        <f t="shared" si="60"/>
        <v>2.3746432939258051E-2</v>
      </c>
      <c r="G78" s="47">
        <f t="shared" si="60"/>
        <v>1.4871081630469669E-2</v>
      </c>
      <c r="H78" s="47">
        <f t="shared" si="60"/>
        <v>1.3355446927374302E-2</v>
      </c>
      <c r="I78" s="47">
        <f t="shared" si="60"/>
        <v>1.5786521355877874E-2</v>
      </c>
      <c r="J78" s="65">
        <f>+I78</f>
        <v>1.5786521355877874E-2</v>
      </c>
      <c r="K78" s="65">
        <f>+J78</f>
        <v>1.5786521355877874E-2</v>
      </c>
      <c r="L78" s="65">
        <f>+K78</f>
        <v>1.5786521355877874E-2</v>
      </c>
      <c r="M78" s="65">
        <f>+L78</f>
        <v>1.5786521355877874E-2</v>
      </c>
      <c r="N78" s="65">
        <f>+M78</f>
        <v>1.5786521355877874E-2</v>
      </c>
    </row>
    <row r="79" spans="1:14" x14ac:dyDescent="0.25">
      <c r="A79" s="9" t="s">
        <v>141</v>
      </c>
      <c r="B79" s="9">
        <f>+Historicals!B150</f>
        <v>601</v>
      </c>
      <c r="C79" s="9">
        <f>+Historicals!C150</f>
        <v>748</v>
      </c>
      <c r="D79" s="9">
        <f>+Historicals!D150</f>
        <v>709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73">
        <f>+Historicals!H150</f>
        <v>982</v>
      </c>
      <c r="I79" s="73">
        <f>+Historicals!I150</f>
        <v>920</v>
      </c>
      <c r="J79" s="59">
        <f>+J52*J81</f>
        <v>1314.4859999999996</v>
      </c>
      <c r="K79" s="59">
        <f>+K52*K81</f>
        <v>1539.1502999999998</v>
      </c>
      <c r="L79" s="59">
        <f>+L52*L81</f>
        <v>1803.0125249999996</v>
      </c>
      <c r="M79" s="59">
        <f>+M52*M81</f>
        <v>2113.0520197499991</v>
      </c>
      <c r="N79" s="59">
        <f>+N52*N81</f>
        <v>2477.5149619124991</v>
      </c>
    </row>
    <row r="80" spans="1:14" x14ac:dyDescent="0.25">
      <c r="A80" s="46" t="s">
        <v>129</v>
      </c>
      <c r="B80" s="47" t="str">
        <f t="shared" ref="B80:I80" si="61">+IFERROR(B79/A79-1,"nm")</f>
        <v>nm</v>
      </c>
      <c r="C80" s="47">
        <f t="shared" si="61"/>
        <v>0.24459234608985025</v>
      </c>
      <c r="D80" s="47">
        <f t="shared" si="61"/>
        <v>-5.2139037433155067E-2</v>
      </c>
      <c r="E80" s="47">
        <f t="shared" si="61"/>
        <v>0.19746121297602248</v>
      </c>
      <c r="F80" s="47">
        <f t="shared" si="61"/>
        <v>9.4228504122497059E-2</v>
      </c>
      <c r="G80" s="47">
        <f t="shared" si="61"/>
        <v>-4.7362755651237931E-2</v>
      </c>
      <c r="H80" s="47">
        <f t="shared" si="61"/>
        <v>0.1096045197740112</v>
      </c>
      <c r="I80" s="47">
        <f t="shared" si="61"/>
        <v>-6.313645621181263E-2</v>
      </c>
      <c r="J80" s="65">
        <f>+J81+J82</f>
        <v>0.09</v>
      </c>
      <c r="K80" s="65">
        <f>+K81+K82</f>
        <v>0.09</v>
      </c>
      <c r="L80" s="65">
        <f>+L81+L82</f>
        <v>0.09</v>
      </c>
      <c r="M80" s="65">
        <f>+M81+M82</f>
        <v>0.09</v>
      </c>
      <c r="N80" s="65">
        <f>+N81+N82</f>
        <v>0.09</v>
      </c>
    </row>
    <row r="81" spans="1:14" x14ac:dyDescent="0.25">
      <c r="A81" s="46" t="s">
        <v>133</v>
      </c>
      <c r="B81" s="47">
        <f t="shared" ref="B81:I81" si="62">+IFERROR(B79/B$52,"nm")</f>
        <v>5.4517416545718435E-2</v>
      </c>
      <c r="C81" s="47">
        <f t="shared" si="62"/>
        <v>9.8837209302325577E-2</v>
      </c>
      <c r="D81" s="47">
        <f t="shared" si="62"/>
        <v>8.8958594730238399E-2</v>
      </c>
      <c r="E81" s="47">
        <f t="shared" si="62"/>
        <v>9.1863233066435832E-2</v>
      </c>
      <c r="F81" s="47">
        <f t="shared" si="62"/>
        <v>9.4679983693436609E-2</v>
      </c>
      <c r="G81" s="47">
        <f t="shared" si="62"/>
        <v>9.4682785920616241E-2</v>
      </c>
      <c r="H81" s="47">
        <f t="shared" si="62"/>
        <v>8.5719273743016758E-2</v>
      </c>
      <c r="I81" s="47">
        <f t="shared" si="62"/>
        <v>7.37238560782114E-2</v>
      </c>
      <c r="J81" s="65">
        <v>0.09</v>
      </c>
      <c r="K81" s="65">
        <f>+J81</f>
        <v>0.09</v>
      </c>
      <c r="L81" s="65">
        <f>+K81</f>
        <v>0.09</v>
      </c>
      <c r="M81" s="65">
        <f>+L81</f>
        <v>0.09</v>
      </c>
      <c r="N81" s="65">
        <f>+M81</f>
        <v>0.09</v>
      </c>
    </row>
    <row r="82" spans="1:14" x14ac:dyDescent="0.25">
      <c r="A82" s="43" t="str">
        <f>+Historicals!A119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5">
      <c r="A83" s="68" t="s">
        <v>207</v>
      </c>
      <c r="B83" s="68">
        <f t="shared" ref="B83:I83" si="63">B85+B89+B93</f>
        <v>3067</v>
      </c>
      <c r="C83" s="68">
        <f t="shared" si="63"/>
        <v>3785</v>
      </c>
      <c r="D83" s="68">
        <f t="shared" si="63"/>
        <v>4237</v>
      </c>
      <c r="E83" s="68">
        <f t="shared" si="63"/>
        <v>5134</v>
      </c>
      <c r="F83" s="68">
        <f t="shared" si="63"/>
        <v>6208</v>
      </c>
      <c r="G83" s="68">
        <f t="shared" si="63"/>
        <v>6679</v>
      </c>
      <c r="H83" s="68">
        <f t="shared" si="63"/>
        <v>8290</v>
      </c>
      <c r="I83" s="68">
        <f t="shared" si="63"/>
        <v>7547</v>
      </c>
      <c r="J83" s="59">
        <f>+SUM(J85+J89+J93)</f>
        <v>7643.3</v>
      </c>
      <c r="K83" s="59">
        <f>+SUM(K85+K89+K93)</f>
        <v>7774.45</v>
      </c>
      <c r="L83" s="59">
        <f>+SUM(L85+L89+L93)</f>
        <v>7939.3820000000005</v>
      </c>
      <c r="M83" s="59">
        <f>+SUM(M85+M89+M93)</f>
        <v>8137.2749500000009</v>
      </c>
      <c r="N83" s="59">
        <f>+SUM(N85+N89+N93)</f>
        <v>8367.5389925000018</v>
      </c>
    </row>
    <row r="84" spans="1:14" x14ac:dyDescent="0.25">
      <c r="A84" s="69" t="s">
        <v>201</v>
      </c>
      <c r="B84" s="66" t="str">
        <f t="shared" ref="B84:N84" si="64">+IFERROR(B83/A83-1,"nm")</f>
        <v>nm</v>
      </c>
      <c r="C84" s="66">
        <f t="shared" si="64"/>
        <v>0.23410498858819695</v>
      </c>
      <c r="D84" s="66">
        <f t="shared" si="64"/>
        <v>0.11941875825627468</v>
      </c>
      <c r="E84" s="66">
        <f t="shared" si="64"/>
        <v>0.21170639603493036</v>
      </c>
      <c r="F84" s="66">
        <f t="shared" si="64"/>
        <v>0.20919361121932223</v>
      </c>
      <c r="G84" s="66">
        <f t="shared" si="64"/>
        <v>7.5869845360824639E-2</v>
      </c>
      <c r="H84" s="66">
        <f t="shared" si="64"/>
        <v>0.24120377301991325</v>
      </c>
      <c r="I84" s="66">
        <f t="shared" si="64"/>
        <v>-8.9626055488540413E-2</v>
      </c>
      <c r="J84" s="65">
        <f t="shared" si="64"/>
        <v>1.2760037100834731E-2</v>
      </c>
      <c r="K84" s="65">
        <f t="shared" si="64"/>
        <v>1.7158818834796419E-2</v>
      </c>
      <c r="L84" s="65">
        <f t="shared" si="64"/>
        <v>2.1214619683707525E-2</v>
      </c>
      <c r="M84" s="65">
        <f t="shared" si="64"/>
        <v>2.4925485384126977E-2</v>
      </c>
      <c r="N84" s="65">
        <f t="shared" si="64"/>
        <v>2.8297439119959966E-2</v>
      </c>
    </row>
    <row r="85" spans="1:14" x14ac:dyDescent="0.25">
      <c r="A85" s="71" t="s">
        <v>214</v>
      </c>
      <c r="B85" s="63">
        <f>+Historicals!B120</f>
        <v>2016</v>
      </c>
      <c r="C85" s="63">
        <f>+Historicals!C120</f>
        <v>2599</v>
      </c>
      <c r="D85" s="63">
        <f>+Historicals!D120</f>
        <v>2920</v>
      </c>
      <c r="E85" s="63">
        <f>+Historicals!E120</f>
        <v>3496</v>
      </c>
      <c r="F85" s="63">
        <f>+Historicals!F120</f>
        <v>4262</v>
      </c>
      <c r="G85" s="63">
        <f>+Historicals!G120</f>
        <v>4635</v>
      </c>
      <c r="H85" s="63">
        <f>+Historicals!H120</f>
        <v>5748</v>
      </c>
      <c r="I85" s="63">
        <f>+Historicals!I120</f>
        <v>5416</v>
      </c>
      <c r="J85" s="59">
        <f>+I85*(1+J86)</f>
        <v>5686.8</v>
      </c>
      <c r="K85" s="59">
        <f>+J85*(1+K86)</f>
        <v>5971.14</v>
      </c>
      <c r="L85" s="59">
        <f>+K85*(1+L86)</f>
        <v>6269.697000000001</v>
      </c>
      <c r="M85" s="59">
        <f>+L85*(1+M86)</f>
        <v>6583.1818500000018</v>
      </c>
      <c r="N85" s="59">
        <f>+M85*(1+N86)</f>
        <v>6912.3409425000018</v>
      </c>
    </row>
    <row r="86" spans="1:14" x14ac:dyDescent="0.25">
      <c r="A86" s="69" t="s">
        <v>201</v>
      </c>
      <c r="B86" s="66" t="str">
        <f t="shared" ref="B86:I86" si="65">+IFERROR(B85/A85-1,"nm")</f>
        <v>nm</v>
      </c>
      <c r="C86" s="66">
        <f t="shared" si="65"/>
        <v>0.28918650793650791</v>
      </c>
      <c r="D86" s="66">
        <f t="shared" si="65"/>
        <v>0.12350904193920731</v>
      </c>
      <c r="E86" s="66">
        <f t="shared" si="65"/>
        <v>0.19726027397260282</v>
      </c>
      <c r="F86" s="66">
        <f t="shared" si="65"/>
        <v>0.21910755148741412</v>
      </c>
      <c r="G86" s="66">
        <f t="shared" si="65"/>
        <v>8.7517597372125833E-2</v>
      </c>
      <c r="H86" s="66">
        <f t="shared" si="65"/>
        <v>0.24012944983818763</v>
      </c>
      <c r="I86" s="66">
        <f t="shared" si="65"/>
        <v>-5.7759220598469052E-2</v>
      </c>
      <c r="J86" s="65">
        <f>+J87+J88</f>
        <v>0.05</v>
      </c>
      <c r="K86" s="65">
        <f>+K87+K88</f>
        <v>0.05</v>
      </c>
      <c r="L86" s="65">
        <f>+L87+L88</f>
        <v>0.05</v>
      </c>
      <c r="M86" s="65">
        <f>+M87+M88</f>
        <v>0.05</v>
      </c>
      <c r="N86" s="65">
        <f>+N87+N88</f>
        <v>0.05</v>
      </c>
    </row>
    <row r="87" spans="1:14" x14ac:dyDescent="0.25">
      <c r="A87" s="69" t="s">
        <v>210</v>
      </c>
      <c r="B87" s="66">
        <f>+Historicals!B192</f>
        <v>0</v>
      </c>
      <c r="C87" s="66">
        <f>+Historicals!C192</f>
        <v>0.28918650793650796</v>
      </c>
      <c r="D87" s="66">
        <f>+Historicals!D192</f>
        <v>0.12350904193920739</v>
      </c>
      <c r="E87" s="66">
        <f>+Historicals!E192</f>
        <v>0.19726027397260273</v>
      </c>
      <c r="F87" s="66">
        <f>+Historicals!F192</f>
        <v>0.21910755148741418</v>
      </c>
      <c r="G87" s="66">
        <f>+Historicals!G192</f>
        <v>8.7517597372125763E-2</v>
      </c>
      <c r="H87" s="66">
        <f>+Historicals!H192</f>
        <v>0.24012944983818771</v>
      </c>
      <c r="I87" s="66">
        <f>+Historicals!I192</f>
        <v>-0.1</v>
      </c>
      <c r="J87" s="65">
        <v>0.05</v>
      </c>
      <c r="K87" s="65">
        <f t="shared" ref="K87:N88" si="66">+J87</f>
        <v>0.05</v>
      </c>
      <c r="L87" s="65">
        <f t="shared" si="66"/>
        <v>0.05</v>
      </c>
      <c r="M87" s="65">
        <f t="shared" si="66"/>
        <v>0.05</v>
      </c>
      <c r="N87" s="65">
        <f t="shared" si="66"/>
        <v>0.05</v>
      </c>
    </row>
    <row r="88" spans="1:14" x14ac:dyDescent="0.25">
      <c r="A88" s="69" t="s">
        <v>209</v>
      </c>
      <c r="B88" s="66" t="str">
        <f t="shared" ref="B88:I88" si="67">+IFERROR(B86-B87,"nm")</f>
        <v>nm</v>
      </c>
      <c r="C88" s="66">
        <f t="shared" si="67"/>
        <v>-5.5511151231257827E-17</v>
      </c>
      <c r="D88" s="66">
        <f t="shared" si="67"/>
        <v>-8.3266726846886741E-17</v>
      </c>
      <c r="E88" s="66">
        <f t="shared" si="67"/>
        <v>8.3266726846886741E-17</v>
      </c>
      <c r="F88" s="66">
        <f t="shared" si="67"/>
        <v>-5.5511151231257827E-17</v>
      </c>
      <c r="G88" s="66">
        <f t="shared" si="67"/>
        <v>6.9388939039072284E-17</v>
      </c>
      <c r="H88" s="66">
        <f t="shared" si="67"/>
        <v>-8.3266726846886741E-17</v>
      </c>
      <c r="I88" s="66">
        <f t="shared" si="67"/>
        <v>4.2240779401530953E-2</v>
      </c>
      <c r="J88" s="65">
        <v>0</v>
      </c>
      <c r="K88" s="65">
        <f t="shared" si="66"/>
        <v>0</v>
      </c>
      <c r="L88" s="65">
        <f t="shared" si="66"/>
        <v>0</v>
      </c>
      <c r="M88" s="65">
        <f t="shared" si="66"/>
        <v>0</v>
      </c>
      <c r="N88" s="65">
        <f t="shared" si="66"/>
        <v>0</v>
      </c>
    </row>
    <row r="89" spans="1:14" x14ac:dyDescent="0.25">
      <c r="A89" s="71" t="s">
        <v>213</v>
      </c>
      <c r="B89" s="63">
        <f>+Historicals!B121</f>
        <v>925</v>
      </c>
      <c r="C89" s="63">
        <f>+Historicals!C121</f>
        <v>1055</v>
      </c>
      <c r="D89" s="63">
        <f>+Historicals!D121</f>
        <v>1188</v>
      </c>
      <c r="E89" s="63">
        <f>+Historicals!E121</f>
        <v>1508</v>
      </c>
      <c r="F89" s="63">
        <f>+Historicals!F121</f>
        <v>1808</v>
      </c>
      <c r="G89" s="63">
        <f>+Historicals!G121</f>
        <v>1896</v>
      </c>
      <c r="H89" s="63">
        <f>+Historicals!H121</f>
        <v>2347</v>
      </c>
      <c r="I89" s="63">
        <f>+Historicals!I121</f>
        <v>1938</v>
      </c>
      <c r="J89" s="59">
        <f>+I89*(1+J90)</f>
        <v>1744.2</v>
      </c>
      <c r="K89" s="59">
        <f>+J89*(1+K90)</f>
        <v>1569.78</v>
      </c>
      <c r="L89" s="59">
        <f>+K89*(1+L90)</f>
        <v>1412.8019999999999</v>
      </c>
      <c r="M89" s="59">
        <f>+L89*(1+M90)</f>
        <v>1271.5218</v>
      </c>
      <c r="N89" s="59">
        <f>+M89*(1+N90)</f>
        <v>1144.3696199999999</v>
      </c>
    </row>
    <row r="90" spans="1:14" x14ac:dyDescent="0.25">
      <c r="A90" s="69" t="s">
        <v>201</v>
      </c>
      <c r="B90" s="66" t="str">
        <f t="shared" ref="B90:I90" si="68">+IFERROR(B89/A89-1,"nm")</f>
        <v>nm</v>
      </c>
      <c r="C90" s="66">
        <f t="shared" si="68"/>
        <v>0.14054054054054044</v>
      </c>
      <c r="D90" s="66">
        <f t="shared" si="68"/>
        <v>0.12606635071090055</v>
      </c>
      <c r="E90" s="66">
        <f t="shared" si="68"/>
        <v>0.26936026936026947</v>
      </c>
      <c r="F90" s="66">
        <f t="shared" si="68"/>
        <v>0.19893899204244025</v>
      </c>
      <c r="G90" s="66">
        <f t="shared" si="68"/>
        <v>4.8672566371681381E-2</v>
      </c>
      <c r="H90" s="66">
        <f t="shared" si="68"/>
        <v>0.2378691983122363</v>
      </c>
      <c r="I90" s="66">
        <f t="shared" si="68"/>
        <v>-0.17426501917341286</v>
      </c>
      <c r="J90" s="65">
        <f>+J91+J92</f>
        <v>-0.1</v>
      </c>
      <c r="K90" s="65">
        <f>+K91+K92</f>
        <v>-0.1</v>
      </c>
      <c r="L90" s="65">
        <f>+L91+L92</f>
        <v>-0.1</v>
      </c>
      <c r="M90" s="65">
        <f>+M91+M92</f>
        <v>-0.1</v>
      </c>
      <c r="N90" s="65">
        <f>+N91+N92</f>
        <v>-0.1</v>
      </c>
    </row>
    <row r="91" spans="1:14" x14ac:dyDescent="0.25">
      <c r="A91" s="69" t="s">
        <v>210</v>
      </c>
      <c r="B91" s="66">
        <f>+Historicals!B193</f>
        <v>0</v>
      </c>
      <c r="C91" s="66">
        <f>+Historicals!C193</f>
        <v>0.14054054054054055</v>
      </c>
      <c r="D91" s="66">
        <f>+Historicals!D193</f>
        <v>0.12606635071090047</v>
      </c>
      <c r="E91" s="66">
        <f>+Historicals!E193</f>
        <v>0.26936026936026936</v>
      </c>
      <c r="F91" s="66">
        <f>+Historicals!F193</f>
        <v>0.19893899204244031</v>
      </c>
      <c r="G91" s="66">
        <f>+Historicals!G193</f>
        <v>4.8672566371681415E-2</v>
      </c>
      <c r="H91" s="66">
        <f>+Historicals!H193</f>
        <v>0.2378691983122363</v>
      </c>
      <c r="I91" s="66">
        <f>+Historicals!I193</f>
        <v>-0.21</v>
      </c>
      <c r="J91" s="65">
        <v>-0.1</v>
      </c>
      <c r="K91" s="65">
        <f t="shared" ref="K91:N92" si="69">+J91</f>
        <v>-0.1</v>
      </c>
      <c r="L91" s="65">
        <f t="shared" si="69"/>
        <v>-0.1</v>
      </c>
      <c r="M91" s="65">
        <f t="shared" si="69"/>
        <v>-0.1</v>
      </c>
      <c r="N91" s="65">
        <f t="shared" si="69"/>
        <v>-0.1</v>
      </c>
    </row>
    <row r="92" spans="1:14" x14ac:dyDescent="0.25">
      <c r="A92" s="69" t="s">
        <v>209</v>
      </c>
      <c r="B92" s="66" t="str">
        <f t="shared" ref="B92:I92" si="70">+IFERROR(B90-B91,"nm")</f>
        <v>nm</v>
      </c>
      <c r="C92" s="66">
        <f t="shared" si="70"/>
        <v>-1.1102230246251565E-16</v>
      </c>
      <c r="D92" s="66">
        <f t="shared" si="70"/>
        <v>8.3266726846886741E-17</v>
      </c>
      <c r="E92" s="66">
        <f t="shared" si="70"/>
        <v>1.1102230246251565E-16</v>
      </c>
      <c r="F92" s="66">
        <f t="shared" si="70"/>
        <v>-5.5511151231257827E-17</v>
      </c>
      <c r="G92" s="66">
        <f t="shared" si="70"/>
        <v>-3.4694469519536142E-17</v>
      </c>
      <c r="H92" s="66">
        <f t="shared" si="70"/>
        <v>0</v>
      </c>
      <c r="I92" s="66">
        <f t="shared" si="70"/>
        <v>3.5734980826587132E-2</v>
      </c>
      <c r="J92" s="65">
        <v>0</v>
      </c>
      <c r="K92" s="65">
        <f t="shared" si="69"/>
        <v>0</v>
      </c>
      <c r="L92" s="65">
        <f t="shared" si="69"/>
        <v>0</v>
      </c>
      <c r="M92" s="65">
        <f t="shared" si="69"/>
        <v>0</v>
      </c>
      <c r="N92" s="65">
        <f t="shared" si="69"/>
        <v>0</v>
      </c>
    </row>
    <row r="93" spans="1:14" x14ac:dyDescent="0.25">
      <c r="A93" s="71" t="s">
        <v>212</v>
      </c>
      <c r="B93" s="63">
        <f>+Historicals!B122</f>
        <v>126</v>
      </c>
      <c r="C93" s="63">
        <f>+Historicals!C122</f>
        <v>131</v>
      </c>
      <c r="D93" s="63">
        <f>+Historicals!D122</f>
        <v>129</v>
      </c>
      <c r="E93" s="63">
        <f>+Historicals!E122</f>
        <v>130</v>
      </c>
      <c r="F93" s="63">
        <f>+Historicals!F122</f>
        <v>138</v>
      </c>
      <c r="G93" s="63">
        <f>+Historicals!G122</f>
        <v>148</v>
      </c>
      <c r="H93" s="63">
        <f>+Historicals!H122</f>
        <v>195</v>
      </c>
      <c r="I93" s="63">
        <f>+Historicals!I122</f>
        <v>193</v>
      </c>
      <c r="J93" s="59">
        <f>+I93*(1+J94)</f>
        <v>212.3</v>
      </c>
      <c r="K93" s="59">
        <f>+J93*(1+K94)</f>
        <v>233.53000000000003</v>
      </c>
      <c r="L93" s="59">
        <f>+K93*(1+L94)</f>
        <v>256.88300000000004</v>
      </c>
      <c r="M93" s="59">
        <f>+L93*(1+M94)</f>
        <v>282.57130000000006</v>
      </c>
      <c r="N93" s="59">
        <f>+M93*(1+N94)</f>
        <v>310.82843000000008</v>
      </c>
    </row>
    <row r="94" spans="1:14" x14ac:dyDescent="0.25">
      <c r="A94" s="69" t="s">
        <v>201</v>
      </c>
      <c r="B94" s="66" t="str">
        <f t="shared" ref="B94:I94" si="71">+IFERROR(B93/A93-1,"nm")</f>
        <v>nm</v>
      </c>
      <c r="C94" s="66">
        <f t="shared" si="71"/>
        <v>3.9682539682539764E-2</v>
      </c>
      <c r="D94" s="66">
        <f t="shared" si="71"/>
        <v>-1.5267175572519109E-2</v>
      </c>
      <c r="E94" s="66">
        <f t="shared" si="71"/>
        <v>7.7519379844961378E-3</v>
      </c>
      <c r="F94" s="66">
        <f t="shared" si="71"/>
        <v>6.1538461538461542E-2</v>
      </c>
      <c r="G94" s="66">
        <f t="shared" si="71"/>
        <v>7.2463768115942129E-2</v>
      </c>
      <c r="H94" s="66">
        <f t="shared" si="71"/>
        <v>0.31756756756756754</v>
      </c>
      <c r="I94" s="66">
        <f t="shared" si="71"/>
        <v>-1.025641025641022E-2</v>
      </c>
      <c r="J94" s="65">
        <f>+J95+J96</f>
        <v>0.1</v>
      </c>
      <c r="K94" s="65">
        <f>+K95+K96</f>
        <v>0.1</v>
      </c>
      <c r="L94" s="65">
        <f>+L95+L96</f>
        <v>0.1</v>
      </c>
      <c r="M94" s="65">
        <f>+M95+M96</f>
        <v>0.1</v>
      </c>
      <c r="N94" s="65">
        <f>+N95+N96</f>
        <v>0.1</v>
      </c>
    </row>
    <row r="95" spans="1:14" x14ac:dyDescent="0.25">
      <c r="A95" s="69" t="s">
        <v>210</v>
      </c>
      <c r="B95" s="66">
        <f>+Historicals!B194</f>
        <v>0</v>
      </c>
      <c r="C95" s="66">
        <f>+Historicals!C194</f>
        <v>3.968253968253968E-2</v>
      </c>
      <c r="D95" s="66">
        <f>+Historicals!D194</f>
        <v>-1.5267175572519083E-2</v>
      </c>
      <c r="E95" s="66">
        <f>+Historicals!E194</f>
        <v>7.7519379844961239E-3</v>
      </c>
      <c r="F95" s="66">
        <f>+Historicals!F194</f>
        <v>6.1538461538461542E-2</v>
      </c>
      <c r="G95" s="66">
        <f>+Historicals!G194</f>
        <v>7.2463768115942032E-2</v>
      </c>
      <c r="H95" s="66">
        <f>+Historicals!H194</f>
        <v>0.31756756756756754</v>
      </c>
      <c r="I95" s="66">
        <f>+Historicals!I194</f>
        <v>-0.06</v>
      </c>
      <c r="J95" s="65">
        <v>0.1</v>
      </c>
      <c r="K95" s="65">
        <f t="shared" ref="K95:N96" si="72">+J95</f>
        <v>0.1</v>
      </c>
      <c r="L95" s="65">
        <f t="shared" si="72"/>
        <v>0.1</v>
      </c>
      <c r="M95" s="65">
        <f t="shared" si="72"/>
        <v>0.1</v>
      </c>
      <c r="N95" s="65">
        <f t="shared" si="72"/>
        <v>0.1</v>
      </c>
    </row>
    <row r="96" spans="1:14" x14ac:dyDescent="0.25">
      <c r="A96" s="69" t="s">
        <v>209</v>
      </c>
      <c r="B96" s="66" t="str">
        <f t="shared" ref="B96:I96" si="73">+IFERROR(B94-B95,"nm")</f>
        <v>nm</v>
      </c>
      <c r="C96" s="66">
        <f t="shared" si="73"/>
        <v>8.3266726846886741E-17</v>
      </c>
      <c r="D96" s="66">
        <f t="shared" si="73"/>
        <v>-2.6020852139652106E-17</v>
      </c>
      <c r="E96" s="66">
        <f t="shared" si="73"/>
        <v>1.3877787807814457E-17</v>
      </c>
      <c r="F96" s="66">
        <f t="shared" si="73"/>
        <v>0</v>
      </c>
      <c r="G96" s="66">
        <f t="shared" si="73"/>
        <v>9.7144514654701197E-17</v>
      </c>
      <c r="H96" s="66">
        <f t="shared" si="73"/>
        <v>0</v>
      </c>
      <c r="I96" s="66">
        <f t="shared" si="73"/>
        <v>4.9743589743589778E-2</v>
      </c>
      <c r="J96" s="65">
        <v>0</v>
      </c>
      <c r="K96" s="65">
        <f t="shared" si="72"/>
        <v>0</v>
      </c>
      <c r="L96" s="65">
        <f t="shared" si="72"/>
        <v>0</v>
      </c>
      <c r="M96" s="65">
        <f t="shared" si="72"/>
        <v>0</v>
      </c>
      <c r="N96" s="65">
        <f t="shared" si="72"/>
        <v>0</v>
      </c>
    </row>
    <row r="97" spans="1:14" x14ac:dyDescent="0.25">
      <c r="A97" s="68" t="s">
        <v>206</v>
      </c>
      <c r="B97" s="68">
        <f t="shared" ref="B97:I97" si="74">+B104+B100</f>
        <v>1039</v>
      </c>
      <c r="C97" s="68">
        <f t="shared" si="74"/>
        <v>1420</v>
      </c>
      <c r="D97" s="68">
        <f t="shared" si="74"/>
        <v>1561</v>
      </c>
      <c r="E97" s="68">
        <f t="shared" si="74"/>
        <v>1863</v>
      </c>
      <c r="F97" s="68">
        <f t="shared" si="74"/>
        <v>2426</v>
      </c>
      <c r="G97" s="68">
        <f t="shared" si="74"/>
        <v>2534</v>
      </c>
      <c r="H97" s="68">
        <f t="shared" si="74"/>
        <v>3289</v>
      </c>
      <c r="I97" s="68">
        <f t="shared" si="74"/>
        <v>2406</v>
      </c>
      <c r="J97" s="59">
        <f>+J83*J99</f>
        <v>2675.1549999999997</v>
      </c>
      <c r="K97" s="59">
        <f>+K83*K99</f>
        <v>2721.0574999999999</v>
      </c>
      <c r="L97" s="59">
        <f>+L83*L99</f>
        <v>2778.7837</v>
      </c>
      <c r="M97" s="59">
        <f>+M83*M99</f>
        <v>2848.0462325000003</v>
      </c>
      <c r="N97" s="59">
        <f>+N83*N99</f>
        <v>2928.6386473750003</v>
      </c>
    </row>
    <row r="98" spans="1:14" x14ac:dyDescent="0.25">
      <c r="A98" s="67" t="s">
        <v>201</v>
      </c>
      <c r="B98" s="66" t="str">
        <f t="shared" ref="B98:N98" si="75">+IFERROR(B97/A97-1,"nm")</f>
        <v>nm</v>
      </c>
      <c r="C98" s="66">
        <f t="shared" si="75"/>
        <v>0.36669874879692022</v>
      </c>
      <c r="D98" s="66">
        <f t="shared" si="75"/>
        <v>9.9295774647887303E-2</v>
      </c>
      <c r="E98" s="66">
        <f t="shared" si="75"/>
        <v>0.19346572709801402</v>
      </c>
      <c r="F98" s="66">
        <f t="shared" si="75"/>
        <v>0.3022007514761138</v>
      </c>
      <c r="G98" s="66">
        <f t="shared" si="75"/>
        <v>4.4517724649629109E-2</v>
      </c>
      <c r="H98" s="66">
        <f t="shared" si="75"/>
        <v>0.29794790844514596</v>
      </c>
      <c r="I98" s="66">
        <f t="shared" si="75"/>
        <v>-0.26847065977500761</v>
      </c>
      <c r="J98" s="65">
        <f t="shared" si="75"/>
        <v>0.11186824605153767</v>
      </c>
      <c r="K98" s="65">
        <f t="shared" si="75"/>
        <v>1.7158818834796641E-2</v>
      </c>
      <c r="L98" s="65">
        <f t="shared" si="75"/>
        <v>2.1214619683707525E-2</v>
      </c>
      <c r="M98" s="65">
        <f t="shared" si="75"/>
        <v>2.4925485384126977E-2</v>
      </c>
      <c r="N98" s="65">
        <f t="shared" si="75"/>
        <v>2.8297439119959966E-2</v>
      </c>
    </row>
    <row r="99" spans="1:14" x14ac:dyDescent="0.25">
      <c r="A99" s="67" t="s">
        <v>203</v>
      </c>
      <c r="B99" s="66">
        <f t="shared" ref="B99:I99" si="76">+IFERROR(B97/B$83,"nm")</f>
        <v>0.33876752526899251</v>
      </c>
      <c r="C99" s="66">
        <f t="shared" si="76"/>
        <v>0.37516512549537651</v>
      </c>
      <c r="D99" s="66">
        <f t="shared" si="76"/>
        <v>0.36842105263157893</v>
      </c>
      <c r="E99" s="66">
        <f t="shared" si="76"/>
        <v>0.36287495130502534</v>
      </c>
      <c r="F99" s="66">
        <f t="shared" si="76"/>
        <v>0.3907860824742268</v>
      </c>
      <c r="G99" s="66">
        <f t="shared" si="76"/>
        <v>0.37939811349004343</v>
      </c>
      <c r="H99" s="66">
        <f t="shared" si="76"/>
        <v>0.39674306393244874</v>
      </c>
      <c r="I99" s="66">
        <f t="shared" si="76"/>
        <v>0.31880217304889358</v>
      </c>
      <c r="J99" s="65">
        <v>0.35</v>
      </c>
      <c r="K99" s="65">
        <f>+J99</f>
        <v>0.35</v>
      </c>
      <c r="L99" s="65">
        <f>+K99</f>
        <v>0.35</v>
      </c>
      <c r="M99" s="65">
        <f>+L99</f>
        <v>0.35</v>
      </c>
      <c r="N99" s="65">
        <f>+M99</f>
        <v>0.35</v>
      </c>
    </row>
    <row r="100" spans="1:14" x14ac:dyDescent="0.25">
      <c r="A100" s="68" t="s">
        <v>205</v>
      </c>
      <c r="B100" s="68">
        <f>+Historicals!B173</f>
        <v>46</v>
      </c>
      <c r="C100" s="68">
        <f>+Historicals!C173</f>
        <v>48</v>
      </c>
      <c r="D100" s="68">
        <f>+Historicals!D173</f>
        <v>54</v>
      </c>
      <c r="E100" s="68">
        <f>+Historicals!E173</f>
        <v>56</v>
      </c>
      <c r="F100" s="68">
        <f>+Historicals!F173</f>
        <v>50</v>
      </c>
      <c r="G100" s="68">
        <f>+Historicals!G173</f>
        <v>44</v>
      </c>
      <c r="H100" s="68">
        <f>+Historicals!H173</f>
        <v>46</v>
      </c>
      <c r="I100" s="68">
        <f>+Historicals!I173</f>
        <v>41</v>
      </c>
      <c r="J100" s="59">
        <f>+J103*J110</f>
        <v>62.054514851485152</v>
      </c>
      <c r="K100" s="59">
        <f>+K103*K110</f>
        <v>63.11929702970297</v>
      </c>
      <c r="L100" s="59">
        <f>+L103*L110</f>
        <v>64.45834891089109</v>
      </c>
      <c r="M100" s="59">
        <f>+M103*M110</f>
        <v>66.065004544554455</v>
      </c>
      <c r="N100" s="59">
        <f>+N103*N110</f>
        <v>67.934474988613871</v>
      </c>
    </row>
    <row r="101" spans="1:14" x14ac:dyDescent="0.25">
      <c r="A101" s="67" t="s">
        <v>201</v>
      </c>
      <c r="B101" s="66" t="str">
        <f t="shared" ref="B101:N101" si="77">+IFERROR(B100/A100-1,"nm")</f>
        <v>nm</v>
      </c>
      <c r="C101" s="66">
        <f t="shared" si="77"/>
        <v>4.3478260869565188E-2</v>
      </c>
      <c r="D101" s="66">
        <f t="shared" si="77"/>
        <v>0.125</v>
      </c>
      <c r="E101" s="66">
        <f t="shared" si="77"/>
        <v>3.7037037037036979E-2</v>
      </c>
      <c r="F101" s="66">
        <f t="shared" si="77"/>
        <v>-0.1071428571428571</v>
      </c>
      <c r="G101" s="66">
        <f t="shared" si="77"/>
        <v>-0.12</v>
      </c>
      <c r="H101" s="66">
        <f t="shared" si="77"/>
        <v>4.5454545454545414E-2</v>
      </c>
      <c r="I101" s="66">
        <f t="shared" si="77"/>
        <v>-0.10869565217391308</v>
      </c>
      <c r="J101" s="65">
        <f t="shared" si="77"/>
        <v>0.51352475247524754</v>
      </c>
      <c r="K101" s="65">
        <f t="shared" si="77"/>
        <v>1.7158818834796419E-2</v>
      </c>
      <c r="L101" s="65">
        <f t="shared" si="77"/>
        <v>2.1214619683707525E-2</v>
      </c>
      <c r="M101" s="65">
        <f t="shared" si="77"/>
        <v>2.4925485384126755E-2</v>
      </c>
      <c r="N101" s="65">
        <f t="shared" si="77"/>
        <v>2.8297439119960188E-2</v>
      </c>
    </row>
    <row r="102" spans="1:14" x14ac:dyDescent="0.25">
      <c r="A102" s="67" t="s">
        <v>200</v>
      </c>
      <c r="B102" s="66">
        <f t="shared" ref="B102:I102" si="78">+IFERROR(B100/B$83,"nm")</f>
        <v>1.4998369742419302E-2</v>
      </c>
      <c r="C102" s="66">
        <f t="shared" si="78"/>
        <v>1.2681638044914135E-2</v>
      </c>
      <c r="D102" s="66">
        <f t="shared" si="78"/>
        <v>1.2744866650932263E-2</v>
      </c>
      <c r="E102" s="66">
        <f t="shared" si="78"/>
        <v>1.090767432800935E-2</v>
      </c>
      <c r="F102" s="66">
        <f t="shared" si="78"/>
        <v>8.0541237113402053E-3</v>
      </c>
      <c r="G102" s="66">
        <f t="shared" si="78"/>
        <v>6.5878125467884411E-3</v>
      </c>
      <c r="H102" s="66">
        <f t="shared" si="78"/>
        <v>5.5488540410132689E-3</v>
      </c>
      <c r="I102" s="66">
        <f t="shared" si="78"/>
        <v>5.4326222340002651E-3</v>
      </c>
      <c r="J102" s="65">
        <f>+IFERROR(J100/J$21,"nm")</f>
        <v>3.2453524939796761E-3</v>
      </c>
      <c r="K102" s="65">
        <f>+IFERROR(K100/K$21,"nm")</f>
        <v>3.165598527548124E-3</v>
      </c>
      <c r="L102" s="65">
        <f>+IFERROR(L100/L$21,"nm")</f>
        <v>3.0969689438059677E-3</v>
      </c>
      <c r="M102" s="65">
        <f>+IFERROR(M100/M$21,"nm")</f>
        <v>3.0373498601035092E-3</v>
      </c>
      <c r="N102" s="65">
        <f>+IFERROR(N100/N$21,"nm")</f>
        <v>2.9848124286698504E-3</v>
      </c>
    </row>
    <row r="103" spans="1:14" x14ac:dyDescent="0.25">
      <c r="A103" s="67" t="s">
        <v>140</v>
      </c>
      <c r="B103" s="66">
        <f t="shared" ref="B103:I103" si="79">+IFERROR(B100/B110,"nm")</f>
        <v>0.18110236220472442</v>
      </c>
      <c r="C103" s="66">
        <f t="shared" si="79"/>
        <v>0.20512820512820512</v>
      </c>
      <c r="D103" s="66">
        <f t="shared" si="79"/>
        <v>0.24</v>
      </c>
      <c r="E103" s="66">
        <f t="shared" si="79"/>
        <v>0.21875</v>
      </c>
      <c r="F103" s="66">
        <f t="shared" si="79"/>
        <v>0.2109704641350211</v>
      </c>
      <c r="G103" s="66">
        <f t="shared" si="79"/>
        <v>0.20560747663551401</v>
      </c>
      <c r="H103" s="66">
        <f t="shared" si="79"/>
        <v>0.15972222222222221</v>
      </c>
      <c r="I103" s="66">
        <f t="shared" si="79"/>
        <v>0.13531353135313531</v>
      </c>
      <c r="J103" s="65">
        <f>+I103</f>
        <v>0.13531353135313531</v>
      </c>
      <c r="K103" s="65">
        <f>+J103</f>
        <v>0.13531353135313531</v>
      </c>
      <c r="L103" s="65">
        <f>+K103</f>
        <v>0.13531353135313531</v>
      </c>
      <c r="M103" s="65">
        <f>+L103</f>
        <v>0.13531353135313531</v>
      </c>
      <c r="N103" s="65">
        <f>+M103</f>
        <v>0.13531353135313531</v>
      </c>
    </row>
    <row r="104" spans="1:14" x14ac:dyDescent="0.25">
      <c r="A104" s="68" t="s">
        <v>204</v>
      </c>
      <c r="B104" s="68">
        <f>+Historicals!B140</f>
        <v>993</v>
      </c>
      <c r="C104" s="68">
        <f>+Historicals!C140</f>
        <v>1372</v>
      </c>
      <c r="D104" s="68">
        <f>+Historicals!D140</f>
        <v>1507</v>
      </c>
      <c r="E104" s="68">
        <f>+Historicals!E140</f>
        <v>1807</v>
      </c>
      <c r="F104" s="68">
        <f>+Historicals!F140</f>
        <v>2376</v>
      </c>
      <c r="G104" s="68">
        <f>+Historicals!G140</f>
        <v>2490</v>
      </c>
      <c r="H104" s="68">
        <f>+Historicals!H140</f>
        <v>3243</v>
      </c>
      <c r="I104" s="68">
        <f>+Historicals!I140</f>
        <v>2365</v>
      </c>
      <c r="J104" s="59">
        <f>+J97-J100</f>
        <v>2613.1004851485145</v>
      </c>
      <c r="K104" s="59">
        <f>+K97-K100</f>
        <v>2657.938202970297</v>
      </c>
      <c r="L104" s="59">
        <f>+L97-L100</f>
        <v>2714.3253510891091</v>
      </c>
      <c r="M104" s="59">
        <f>+M97-M100</f>
        <v>2781.9812279554458</v>
      </c>
      <c r="N104" s="59">
        <f>+N97-N100</f>
        <v>2860.7041723863863</v>
      </c>
    </row>
    <row r="105" spans="1:14" x14ac:dyDescent="0.25">
      <c r="A105" s="67" t="s">
        <v>201</v>
      </c>
      <c r="B105" s="66" t="str">
        <f t="shared" ref="B105:N105" si="80">+IFERROR(B104/A104-1,"nm")</f>
        <v>nm</v>
      </c>
      <c r="C105" s="66">
        <f t="shared" si="80"/>
        <v>0.38167170191339372</v>
      </c>
      <c r="D105" s="66">
        <f t="shared" si="80"/>
        <v>9.8396501457725938E-2</v>
      </c>
      <c r="E105" s="66">
        <f t="shared" si="80"/>
        <v>0.19907100199071004</v>
      </c>
      <c r="F105" s="66">
        <f t="shared" si="80"/>
        <v>0.31488655229662421</v>
      </c>
      <c r="G105" s="66">
        <f t="shared" si="80"/>
        <v>4.7979797979798011E-2</v>
      </c>
      <c r="H105" s="66">
        <f t="shared" si="80"/>
        <v>0.30240963855421676</v>
      </c>
      <c r="I105" s="66">
        <f t="shared" si="80"/>
        <v>-0.27073697193956214</v>
      </c>
      <c r="J105" s="65">
        <f t="shared" si="80"/>
        <v>0.10490506771607389</v>
      </c>
      <c r="K105" s="65">
        <f t="shared" si="80"/>
        <v>1.7158818834796641E-2</v>
      </c>
      <c r="L105" s="65">
        <f t="shared" si="80"/>
        <v>2.1214619683707525E-2</v>
      </c>
      <c r="M105" s="65">
        <f t="shared" si="80"/>
        <v>2.4925485384126977E-2</v>
      </c>
      <c r="N105" s="65">
        <f t="shared" si="80"/>
        <v>2.8297439119959966E-2</v>
      </c>
    </row>
    <row r="106" spans="1:14" x14ac:dyDescent="0.25">
      <c r="A106" s="67" t="s">
        <v>203</v>
      </c>
      <c r="B106" s="66">
        <f t="shared" ref="B106:I106" si="81">+IFERROR(B104/B$83,"nm")</f>
        <v>0.3237691555265732</v>
      </c>
      <c r="C106" s="66">
        <f t="shared" si="81"/>
        <v>0.36248348745046233</v>
      </c>
      <c r="D106" s="66">
        <f t="shared" si="81"/>
        <v>0.35567618598064671</v>
      </c>
      <c r="E106" s="66">
        <f t="shared" si="81"/>
        <v>0.35196727697701596</v>
      </c>
      <c r="F106" s="66">
        <f t="shared" si="81"/>
        <v>0.38273195876288657</v>
      </c>
      <c r="G106" s="66">
        <f t="shared" si="81"/>
        <v>0.37281030094325496</v>
      </c>
      <c r="H106" s="66">
        <f t="shared" si="81"/>
        <v>0.39119420989143544</v>
      </c>
      <c r="I106" s="66">
        <f t="shared" si="81"/>
        <v>0.31336955081489332</v>
      </c>
      <c r="J106" s="65">
        <f>+IFERROR(J104/J$21,"nm")</f>
        <v>0.13666100197209535</v>
      </c>
      <c r="K106" s="65">
        <f>+IFERROR(K104/K$21,"nm")</f>
        <v>0.13330258189784966</v>
      </c>
      <c r="L106" s="65">
        <f>+IFERROR(L104/L$21,"nm")</f>
        <v>0.13041260686539033</v>
      </c>
      <c r="M106" s="65">
        <f>+IFERROR(M104/M$21,"nm")</f>
        <v>0.12790206179191974</v>
      </c>
      <c r="N106" s="65">
        <f>+IFERROR(N104/N$21,"nm")</f>
        <v>0.12568972336825601</v>
      </c>
    </row>
    <row r="107" spans="1:14" x14ac:dyDescent="0.25">
      <c r="A107" s="68" t="s">
        <v>202</v>
      </c>
      <c r="B107" s="68">
        <f>+Historicals!B162</f>
        <v>69</v>
      </c>
      <c r="C107" s="68">
        <f>+Historicals!C162</f>
        <v>44</v>
      </c>
      <c r="D107" s="68">
        <f>+Historicals!D162</f>
        <v>51</v>
      </c>
      <c r="E107" s="68">
        <f>+Historicals!E162</f>
        <v>76</v>
      </c>
      <c r="F107" s="68">
        <f>+Historicals!F162</f>
        <v>49</v>
      </c>
      <c r="G107" s="68">
        <f>+Historicals!G162</f>
        <v>28</v>
      </c>
      <c r="H107" s="68">
        <f>+Historicals!H162</f>
        <v>94</v>
      </c>
      <c r="I107" s="68">
        <f>+Historicals!I162</f>
        <v>78</v>
      </c>
      <c r="J107" s="59">
        <f>+J83*J109</f>
        <v>78.995282893865109</v>
      </c>
      <c r="K107" s="59">
        <f>+K83*K109</f>
        <v>80.350748641844433</v>
      </c>
      <c r="L107" s="59">
        <f>+L83*L109</f>
        <v>82.055359215582357</v>
      </c>
      <c r="M107" s="59">
        <f>+M83*M109</f>
        <v>84.100628872399639</v>
      </c>
      <c r="N107" s="59">
        <f>+N83*N109</f>
        <v>86.480461297866725</v>
      </c>
    </row>
    <row r="108" spans="1:14" x14ac:dyDescent="0.25">
      <c r="A108" s="67" t="s">
        <v>201</v>
      </c>
      <c r="B108" s="66" t="str">
        <f t="shared" ref="B108:I108" si="82">+IFERROR(B107/A107-1,"nm")</f>
        <v>nm</v>
      </c>
      <c r="C108" s="66">
        <f t="shared" si="82"/>
        <v>-0.3623188405797102</v>
      </c>
      <c r="D108" s="66">
        <f t="shared" si="82"/>
        <v>0.15909090909090917</v>
      </c>
      <c r="E108" s="66">
        <f t="shared" si="82"/>
        <v>0.49019607843137258</v>
      </c>
      <c r="F108" s="66">
        <f t="shared" si="82"/>
        <v>-0.35526315789473684</v>
      </c>
      <c r="G108" s="66">
        <f t="shared" si="82"/>
        <v>-0.4285714285714286</v>
      </c>
      <c r="H108" s="66">
        <f t="shared" si="82"/>
        <v>2.3571428571428572</v>
      </c>
      <c r="I108" s="66">
        <f t="shared" si="82"/>
        <v>-0.17021276595744683</v>
      </c>
      <c r="J108" s="65">
        <v>0</v>
      </c>
      <c r="K108" s="65">
        <f>+IFERROR(K107/J107-1,"nm")</f>
        <v>1.7158818834796419E-2</v>
      </c>
      <c r="L108" s="65">
        <f>+IFERROR(L107/K107-1,"nm")</f>
        <v>2.1214619683707747E-2</v>
      </c>
      <c r="M108" s="65">
        <f>+IFERROR(M107/L107-1,"nm")</f>
        <v>2.4925485384126977E-2</v>
      </c>
      <c r="N108" s="65">
        <f>+IFERROR(N107/M107-1,"nm")</f>
        <v>2.8297439119960188E-2</v>
      </c>
    </row>
    <row r="109" spans="1:14" x14ac:dyDescent="0.25">
      <c r="A109" s="67" t="s">
        <v>200</v>
      </c>
      <c r="B109" s="66">
        <f t="shared" ref="B109:I109" si="83">+IFERROR(B107/B$83,"nm")</f>
        <v>2.2497554613628953E-2</v>
      </c>
      <c r="C109" s="66">
        <f t="shared" si="83"/>
        <v>1.1624834874504624E-2</v>
      </c>
      <c r="D109" s="66">
        <f t="shared" si="83"/>
        <v>1.2036818503658248E-2</v>
      </c>
      <c r="E109" s="66">
        <f t="shared" si="83"/>
        <v>1.4803272302298403E-2</v>
      </c>
      <c r="F109" s="66">
        <f t="shared" si="83"/>
        <v>7.8930412371134018E-3</v>
      </c>
      <c r="G109" s="66">
        <f t="shared" si="83"/>
        <v>4.1922443479562805E-3</v>
      </c>
      <c r="H109" s="66">
        <f t="shared" si="83"/>
        <v>1.1338962605548853E-2</v>
      </c>
      <c r="I109" s="66">
        <f t="shared" si="83"/>
        <v>1.0335232542732211E-2</v>
      </c>
      <c r="J109" s="65">
        <f>+I109</f>
        <v>1.0335232542732211E-2</v>
      </c>
      <c r="K109" s="65">
        <f>+J109</f>
        <v>1.0335232542732211E-2</v>
      </c>
      <c r="L109" s="65">
        <f>+K109</f>
        <v>1.0335232542732211E-2</v>
      </c>
      <c r="M109" s="65">
        <f>+L109</f>
        <v>1.0335232542732211E-2</v>
      </c>
      <c r="N109" s="65">
        <f>+M109</f>
        <v>1.0335232542732211E-2</v>
      </c>
    </row>
    <row r="110" spans="1:14" x14ac:dyDescent="0.25">
      <c r="A110" s="9" t="s">
        <v>141</v>
      </c>
      <c r="B110" s="9">
        <f>+Historicals!B151</f>
        <v>254</v>
      </c>
      <c r="C110" s="9">
        <f>+Historicals!C151</f>
        <v>234</v>
      </c>
      <c r="D110" s="9">
        <f>+Historicals!D151</f>
        <v>225</v>
      </c>
      <c r="E110" s="9">
        <f>+Historicals!E151</f>
        <v>256</v>
      </c>
      <c r="F110" s="9">
        <f>+Historicals!F151</f>
        <v>237</v>
      </c>
      <c r="G110" s="9">
        <f>+Historicals!G151</f>
        <v>214</v>
      </c>
      <c r="H110" s="73">
        <f>+Historicals!H151</f>
        <v>288</v>
      </c>
      <c r="I110" s="73">
        <f>+Historicals!I151</f>
        <v>303</v>
      </c>
      <c r="J110" s="59">
        <f>+J83*J112</f>
        <v>458.59800000000001</v>
      </c>
      <c r="K110" s="59">
        <f>+K83*K112</f>
        <v>466.46699999999998</v>
      </c>
      <c r="L110" s="59">
        <f>+L83*L112</f>
        <v>476.36292000000003</v>
      </c>
      <c r="M110" s="59">
        <f>+M83*M112</f>
        <v>488.23649700000004</v>
      </c>
      <c r="N110" s="59">
        <f>+N83*N112</f>
        <v>502.05233955000011</v>
      </c>
    </row>
    <row r="111" spans="1:14" x14ac:dyDescent="0.25">
      <c r="A111" s="46" t="s">
        <v>129</v>
      </c>
      <c r="B111" s="47" t="str">
        <f t="shared" ref="B111:I111" si="84">+IFERROR(B110/A110-1,"nm")</f>
        <v>nm</v>
      </c>
      <c r="C111" s="47">
        <f t="shared" si="84"/>
        <v>-7.8740157480314932E-2</v>
      </c>
      <c r="D111" s="47">
        <f t="shared" si="84"/>
        <v>-3.8461538461538436E-2</v>
      </c>
      <c r="E111" s="47">
        <f t="shared" si="84"/>
        <v>0.13777777777777778</v>
      </c>
      <c r="F111" s="47">
        <f t="shared" si="84"/>
        <v>-7.421875E-2</v>
      </c>
      <c r="G111" s="47">
        <f t="shared" si="84"/>
        <v>-9.7046413502109741E-2</v>
      </c>
      <c r="H111" s="47">
        <f t="shared" si="84"/>
        <v>0.34579439252336441</v>
      </c>
      <c r="I111" s="47">
        <f t="shared" si="84"/>
        <v>5.2083333333333259E-2</v>
      </c>
      <c r="J111" s="65">
        <f>+J112+J113</f>
        <v>0.06</v>
      </c>
      <c r="K111" s="65">
        <f>+K112+K113</f>
        <v>0.06</v>
      </c>
      <c r="L111" s="65">
        <f>+L112+L113</f>
        <v>0.06</v>
      </c>
      <c r="M111" s="65">
        <f>+M112+M113</f>
        <v>0.06</v>
      </c>
      <c r="N111" s="65">
        <f>+N112+N113</f>
        <v>0.06</v>
      </c>
    </row>
    <row r="112" spans="1:14" x14ac:dyDescent="0.25">
      <c r="A112" s="46" t="s">
        <v>133</v>
      </c>
      <c r="B112" s="47">
        <f t="shared" ref="B112:I112" si="85">+IFERROR(B110/B$83,"nm")</f>
        <v>8.2817085099445714E-2</v>
      </c>
      <c r="C112" s="47">
        <f t="shared" si="85"/>
        <v>6.1822985468956405E-2</v>
      </c>
      <c r="D112" s="47">
        <f t="shared" si="85"/>
        <v>5.31036110455511E-2</v>
      </c>
      <c r="E112" s="47">
        <f t="shared" si="85"/>
        <v>4.9863654070899883E-2</v>
      </c>
      <c r="F112" s="47">
        <f t="shared" si="85"/>
        <v>3.817654639175258E-2</v>
      </c>
      <c r="G112" s="47">
        <f t="shared" si="85"/>
        <v>3.2040724659380147E-2</v>
      </c>
      <c r="H112" s="47">
        <f t="shared" si="85"/>
        <v>3.4740651387213509E-2</v>
      </c>
      <c r="I112" s="47">
        <f t="shared" si="85"/>
        <v>4.0148403339075128E-2</v>
      </c>
      <c r="J112" s="65">
        <v>0.06</v>
      </c>
      <c r="K112" s="65">
        <f>+J112</f>
        <v>0.06</v>
      </c>
      <c r="L112" s="65">
        <f>+K112</f>
        <v>0.06</v>
      </c>
      <c r="M112" s="65">
        <f>+L112</f>
        <v>0.06</v>
      </c>
      <c r="N112" s="65">
        <f>+M112</f>
        <v>0.06</v>
      </c>
    </row>
    <row r="113" spans="1:14" x14ac:dyDescent="0.25">
      <c r="A113" t="str">
        <f>+Historicals!A123</f>
        <v>Asia Pacific &amp; Latin America</v>
      </c>
    </row>
    <row r="114" spans="1:14" x14ac:dyDescent="0.25">
      <c r="A114" s="68" t="s">
        <v>207</v>
      </c>
      <c r="B114" s="68">
        <f t="shared" ref="B114:I114" si="86">B116+B120+B124</f>
        <v>755</v>
      </c>
      <c r="C114" s="68">
        <f t="shared" si="86"/>
        <v>4317</v>
      </c>
      <c r="D114" s="68">
        <f t="shared" si="86"/>
        <v>4737</v>
      </c>
      <c r="E114" s="68">
        <f t="shared" si="86"/>
        <v>5166</v>
      </c>
      <c r="F114" s="68">
        <f t="shared" si="86"/>
        <v>5254</v>
      </c>
      <c r="G114" s="68">
        <f t="shared" si="86"/>
        <v>5028</v>
      </c>
      <c r="H114" s="68">
        <f t="shared" si="86"/>
        <v>5343</v>
      </c>
      <c r="I114" s="68">
        <f t="shared" si="86"/>
        <v>5955</v>
      </c>
      <c r="J114" s="59">
        <f>+SUM(J116+J120+J124)</f>
        <v>7095.92</v>
      </c>
      <c r="K114" s="59">
        <f>+SUM(K116+K120+K124)</f>
        <v>8462.9875999999986</v>
      </c>
      <c r="L114" s="59">
        <f>+SUM(L116+L120+L124)</f>
        <v>10102.933807999998</v>
      </c>
      <c r="M114" s="59">
        <f>+SUM(M116+M120+M124)</f>
        <v>12072.657349639998</v>
      </c>
      <c r="N114" s="59">
        <f>+SUM(N116+N120+N124)</f>
        <v>14441.578215771196</v>
      </c>
    </row>
    <row r="115" spans="1:14" x14ac:dyDescent="0.25">
      <c r="A115" s="69" t="s">
        <v>201</v>
      </c>
      <c r="B115" s="66" t="str">
        <f t="shared" ref="B115:N115" si="87">+IFERROR(B114/A114-1,"nm")</f>
        <v>nm</v>
      </c>
      <c r="C115" s="66">
        <f t="shared" si="87"/>
        <v>4.717880794701987</v>
      </c>
      <c r="D115" s="66">
        <f t="shared" si="87"/>
        <v>9.7289784572619942E-2</v>
      </c>
      <c r="E115" s="66">
        <f t="shared" si="87"/>
        <v>9.0563647878403986E-2</v>
      </c>
      <c r="F115" s="66">
        <f t="shared" si="87"/>
        <v>1.7034456058846237E-2</v>
      </c>
      <c r="G115" s="66">
        <f t="shared" si="87"/>
        <v>-4.3014845831747195E-2</v>
      </c>
      <c r="H115" s="66">
        <f t="shared" si="87"/>
        <v>6.2649164677804237E-2</v>
      </c>
      <c r="I115" s="66">
        <f t="shared" si="87"/>
        <v>0.11454239191465465</v>
      </c>
      <c r="J115" s="65">
        <f t="shared" si="87"/>
        <v>0.19159026028547443</v>
      </c>
      <c r="K115" s="65">
        <f t="shared" si="87"/>
        <v>0.19265544143676916</v>
      </c>
      <c r="L115" s="65">
        <f t="shared" si="87"/>
        <v>0.19377863770000081</v>
      </c>
      <c r="M115" s="65">
        <f t="shared" si="87"/>
        <v>0.19496550002933577</v>
      </c>
      <c r="N115" s="65">
        <f t="shared" si="87"/>
        <v>0.19622199135816931</v>
      </c>
    </row>
    <row r="116" spans="1:14" x14ac:dyDescent="0.25">
      <c r="A116" s="71" t="s">
        <v>214</v>
      </c>
      <c r="B116" s="63">
        <f>+Historicals!B124</f>
        <v>452</v>
      </c>
      <c r="C116" s="63">
        <f>+Historicals!C124</f>
        <v>2930</v>
      </c>
      <c r="D116" s="63">
        <f>+Historicals!D124</f>
        <v>3285</v>
      </c>
      <c r="E116" s="63">
        <f>+Historicals!E124</f>
        <v>3575</v>
      </c>
      <c r="F116" s="63">
        <f>+Historicals!F124</f>
        <v>3622</v>
      </c>
      <c r="G116" s="63">
        <f>+Historicals!G124</f>
        <v>3449</v>
      </c>
      <c r="H116" s="63">
        <f>+Historicals!H124</f>
        <v>3659</v>
      </c>
      <c r="I116" s="63">
        <f>+Historicals!I124</f>
        <v>4111</v>
      </c>
      <c r="J116" s="59">
        <f>+I116*(1+J117)</f>
        <v>4933.2</v>
      </c>
      <c r="K116" s="59">
        <f>+J116*(1+K117)</f>
        <v>5919.8399999999992</v>
      </c>
      <c r="L116" s="59">
        <f>+K116*(1+L117)</f>
        <v>7103.8079999999991</v>
      </c>
      <c r="M116" s="59">
        <f>+L116*(1+M117)</f>
        <v>8524.5695999999989</v>
      </c>
      <c r="N116" s="59">
        <f>+M116*(1+N117)</f>
        <v>10229.483519999998</v>
      </c>
    </row>
    <row r="117" spans="1:14" x14ac:dyDescent="0.25">
      <c r="A117" s="69" t="s">
        <v>201</v>
      </c>
      <c r="B117" s="66" t="str">
        <f t="shared" ref="B117:I117" si="88">+IFERROR(B116/A116-1,"nm")</f>
        <v>nm</v>
      </c>
      <c r="C117" s="66">
        <f t="shared" si="88"/>
        <v>5.4823008849557526</v>
      </c>
      <c r="D117" s="66">
        <f t="shared" si="88"/>
        <v>0.12116040955631391</v>
      </c>
      <c r="E117" s="66">
        <f t="shared" si="88"/>
        <v>8.8280060882800715E-2</v>
      </c>
      <c r="F117" s="66">
        <f t="shared" si="88"/>
        <v>1.3146853146853044E-2</v>
      </c>
      <c r="G117" s="66">
        <f t="shared" si="88"/>
        <v>-4.7763666482606326E-2</v>
      </c>
      <c r="H117" s="66">
        <f t="shared" si="88"/>
        <v>6.0887213685126174E-2</v>
      </c>
      <c r="I117" s="66">
        <f t="shared" si="88"/>
        <v>0.12353101940420874</v>
      </c>
      <c r="J117" s="65">
        <f>+J118+J119</f>
        <v>0.2</v>
      </c>
      <c r="K117" s="65">
        <f>+K118+K119</f>
        <v>0.2</v>
      </c>
      <c r="L117" s="65">
        <f>+L118+L119</f>
        <v>0.2</v>
      </c>
      <c r="M117" s="65">
        <f>+M118+M119</f>
        <v>0.2</v>
      </c>
      <c r="N117" s="65">
        <f>+N118+N119</f>
        <v>0.2</v>
      </c>
    </row>
    <row r="118" spans="1:14" x14ac:dyDescent="0.25">
      <c r="A118" s="69" t="s">
        <v>210</v>
      </c>
      <c r="B118" s="66">
        <f>+Historicals!B196</f>
        <v>0</v>
      </c>
      <c r="C118" s="66">
        <f>+Historicals!C196</f>
        <v>5.4823008849557526</v>
      </c>
      <c r="D118" s="66">
        <f>+Historicals!D196</f>
        <v>0.12116040955631399</v>
      </c>
      <c r="E118" s="66">
        <f>+Historicals!E196</f>
        <v>8.8280060882800604E-2</v>
      </c>
      <c r="F118" s="66">
        <f>+Historicals!F196</f>
        <v>1.3146853146853148E-2</v>
      </c>
      <c r="G118" s="66">
        <f>+Historicals!G196</f>
        <v>-4.7763666482606291E-2</v>
      </c>
      <c r="H118" s="66">
        <f>+Historicals!H196</f>
        <v>6.0887213685126125E-2</v>
      </c>
      <c r="I118" s="66">
        <f>+Historicals!I196</f>
        <v>0.17</v>
      </c>
      <c r="J118" s="65">
        <v>0.2</v>
      </c>
      <c r="K118" s="65">
        <f t="shared" ref="K118:N119" si="89">+J118</f>
        <v>0.2</v>
      </c>
      <c r="L118" s="65">
        <f t="shared" si="89"/>
        <v>0.2</v>
      </c>
      <c r="M118" s="65">
        <f t="shared" si="89"/>
        <v>0.2</v>
      </c>
      <c r="N118" s="65">
        <f t="shared" si="89"/>
        <v>0.2</v>
      </c>
    </row>
    <row r="119" spans="1:14" x14ac:dyDescent="0.25">
      <c r="A119" s="69" t="s">
        <v>209</v>
      </c>
      <c r="B119" s="66" t="str">
        <f t="shared" ref="B119:I119" si="90">+IFERROR(B117-B118,"nm")</f>
        <v>nm</v>
      </c>
      <c r="C119" s="66">
        <f t="shared" si="90"/>
        <v>0</v>
      </c>
      <c r="D119" s="66">
        <f t="shared" si="90"/>
        <v>-8.3266726846886741E-17</v>
      </c>
      <c r="E119" s="66">
        <f t="shared" si="90"/>
        <v>1.1102230246251565E-16</v>
      </c>
      <c r="F119" s="66">
        <f t="shared" si="90"/>
        <v>-1.0408340855860843E-16</v>
      </c>
      <c r="G119" s="66">
        <f t="shared" si="90"/>
        <v>-3.4694469519536142E-17</v>
      </c>
      <c r="H119" s="66">
        <f t="shared" si="90"/>
        <v>4.8572257327350599E-17</v>
      </c>
      <c r="I119" s="66">
        <f t="shared" si="90"/>
        <v>-4.646898059579127E-2</v>
      </c>
      <c r="J119" s="65">
        <v>0</v>
      </c>
      <c r="K119" s="65">
        <f t="shared" si="89"/>
        <v>0</v>
      </c>
      <c r="L119" s="65">
        <f t="shared" si="89"/>
        <v>0</v>
      </c>
      <c r="M119" s="65">
        <f t="shared" si="89"/>
        <v>0</v>
      </c>
      <c r="N119" s="65">
        <f t="shared" si="89"/>
        <v>0</v>
      </c>
    </row>
    <row r="120" spans="1:14" x14ac:dyDescent="0.25">
      <c r="A120" s="71" t="s">
        <v>213</v>
      </c>
      <c r="B120" s="63">
        <f>+Historicals!B125</f>
        <v>230</v>
      </c>
      <c r="C120" s="63">
        <f>+Historicals!C125</f>
        <v>1117</v>
      </c>
      <c r="D120" s="63">
        <f>+Historicals!D125</f>
        <v>1185</v>
      </c>
      <c r="E120" s="63">
        <f>+Historicals!E125</f>
        <v>1347</v>
      </c>
      <c r="F120" s="63">
        <f>+Historicals!F125</f>
        <v>1395</v>
      </c>
      <c r="G120" s="63">
        <f>+Historicals!G125</f>
        <v>1365</v>
      </c>
      <c r="H120" s="63">
        <f>+Historicals!H125</f>
        <v>1494</v>
      </c>
      <c r="I120" s="63">
        <f>+Historicals!I125</f>
        <v>1610</v>
      </c>
      <c r="J120" s="59">
        <f>+I120*(1+J121)</f>
        <v>1851.4999999999998</v>
      </c>
      <c r="K120" s="59">
        <f>+J120*(1+K121)</f>
        <v>2129.2249999999995</v>
      </c>
      <c r="L120" s="59">
        <f>+K120*(1+L121)</f>
        <v>2448.608749999999</v>
      </c>
      <c r="M120" s="59">
        <f>+L120*(1+M121)</f>
        <v>2815.9000624999985</v>
      </c>
      <c r="N120" s="59">
        <f>+M120*(1+N121)</f>
        <v>3238.2850718749983</v>
      </c>
    </row>
    <row r="121" spans="1:14" x14ac:dyDescent="0.25">
      <c r="A121" s="69" t="s">
        <v>201</v>
      </c>
      <c r="B121" s="66" t="str">
        <f t="shared" ref="B121:I121" si="91">+IFERROR(B120/A120-1,"nm")</f>
        <v>nm</v>
      </c>
      <c r="C121" s="66">
        <f t="shared" si="91"/>
        <v>3.8565217391304349</v>
      </c>
      <c r="D121" s="66">
        <f t="shared" si="91"/>
        <v>6.0877350044762801E-2</v>
      </c>
      <c r="E121" s="66">
        <f t="shared" si="91"/>
        <v>0.13670886075949373</v>
      </c>
      <c r="F121" s="66">
        <f t="shared" si="91"/>
        <v>3.563474387527843E-2</v>
      </c>
      <c r="G121" s="66">
        <f t="shared" si="91"/>
        <v>-2.1505376344086002E-2</v>
      </c>
      <c r="H121" s="66">
        <f t="shared" si="91"/>
        <v>9.4505494505494614E-2</v>
      </c>
      <c r="I121" s="66">
        <f t="shared" si="91"/>
        <v>7.7643908969210251E-2</v>
      </c>
      <c r="J121" s="65">
        <f>+J122+J123</f>
        <v>0.15</v>
      </c>
      <c r="K121" s="65">
        <f>+K122+K123</f>
        <v>0.15</v>
      </c>
      <c r="L121" s="65">
        <f>+L122+L123</f>
        <v>0.15</v>
      </c>
      <c r="M121" s="65">
        <f>+M122+M123</f>
        <v>0.15</v>
      </c>
      <c r="N121" s="65">
        <f>+N122+N123</f>
        <v>0.15</v>
      </c>
    </row>
    <row r="122" spans="1:14" x14ac:dyDescent="0.25">
      <c r="A122" s="69" t="s">
        <v>210</v>
      </c>
      <c r="B122" s="66">
        <f>+Historicals!B197</f>
        <v>0</v>
      </c>
      <c r="C122" s="66">
        <f>+Historicals!C197</f>
        <v>3.8565217391304349</v>
      </c>
      <c r="D122" s="66">
        <f>+Historicals!D197</f>
        <v>6.087735004476276E-2</v>
      </c>
      <c r="E122" s="66">
        <f>+Historicals!E197</f>
        <v>0.13670886075949368</v>
      </c>
      <c r="F122" s="66">
        <f>+Historicals!F197</f>
        <v>3.5634743875278395E-2</v>
      </c>
      <c r="G122" s="66">
        <f>+Historicals!G197</f>
        <v>-2.1505376344086023E-2</v>
      </c>
      <c r="H122" s="66">
        <f>+Historicals!H197</f>
        <v>9.4505494505494503E-2</v>
      </c>
      <c r="I122" s="66">
        <f>+Historicals!I197</f>
        <v>0.12</v>
      </c>
      <c r="J122" s="65">
        <v>0.15</v>
      </c>
      <c r="K122" s="65">
        <f t="shared" ref="K122:N123" si="92">+J122</f>
        <v>0.15</v>
      </c>
      <c r="L122" s="65">
        <f t="shared" si="92"/>
        <v>0.15</v>
      </c>
      <c r="M122" s="65">
        <f t="shared" si="92"/>
        <v>0.15</v>
      </c>
      <c r="N122" s="65">
        <f t="shared" si="92"/>
        <v>0.15</v>
      </c>
    </row>
    <row r="123" spans="1:14" x14ac:dyDescent="0.25">
      <c r="A123" s="69" t="s">
        <v>209</v>
      </c>
      <c r="B123" s="66" t="str">
        <f t="shared" ref="B123:I123" si="93">+IFERROR(B121-B122,"nm")</f>
        <v>nm</v>
      </c>
      <c r="C123" s="66">
        <f t="shared" si="93"/>
        <v>0</v>
      </c>
      <c r="D123" s="66">
        <f t="shared" si="93"/>
        <v>4.163336342344337E-17</v>
      </c>
      <c r="E123" s="66">
        <f t="shared" si="93"/>
        <v>5.5511151231257827E-17</v>
      </c>
      <c r="F123" s="66">
        <f t="shared" si="93"/>
        <v>3.4694469519536142E-17</v>
      </c>
      <c r="G123" s="66">
        <f t="shared" si="93"/>
        <v>2.0816681711721685E-17</v>
      </c>
      <c r="H123" s="66">
        <f t="shared" si="93"/>
        <v>1.1102230246251565E-16</v>
      </c>
      <c r="I123" s="66">
        <f t="shared" si="93"/>
        <v>-4.2356091030789744E-2</v>
      </c>
      <c r="J123" s="65">
        <v>0</v>
      </c>
      <c r="K123" s="65">
        <f t="shared" si="92"/>
        <v>0</v>
      </c>
      <c r="L123" s="65">
        <f t="shared" si="92"/>
        <v>0</v>
      </c>
      <c r="M123" s="65">
        <f t="shared" si="92"/>
        <v>0</v>
      </c>
      <c r="N123" s="65">
        <f t="shared" si="92"/>
        <v>0</v>
      </c>
    </row>
    <row r="124" spans="1:14" x14ac:dyDescent="0.25">
      <c r="A124" s="71" t="s">
        <v>212</v>
      </c>
      <c r="B124" s="63">
        <f>+Historicals!B126</f>
        <v>73</v>
      </c>
      <c r="C124" s="63">
        <f>+Historicals!C126</f>
        <v>270</v>
      </c>
      <c r="D124" s="63">
        <f>+Historicals!D126</f>
        <v>267</v>
      </c>
      <c r="E124" s="63">
        <f>+Historicals!E126</f>
        <v>244</v>
      </c>
      <c r="F124" s="63">
        <f>+Historicals!F126</f>
        <v>237</v>
      </c>
      <c r="G124" s="63">
        <f>+Historicals!G126</f>
        <v>214</v>
      </c>
      <c r="H124" s="63">
        <f>+Historicals!H126</f>
        <v>190</v>
      </c>
      <c r="I124" s="63">
        <f>+Historicals!I126</f>
        <v>234</v>
      </c>
      <c r="J124" s="59">
        <f>+I124*(1+J125)</f>
        <v>311.22000000000003</v>
      </c>
      <c r="K124" s="59">
        <f>+J124*(1+K125)</f>
        <v>413.92260000000005</v>
      </c>
      <c r="L124" s="59">
        <f>+K124*(1+L125)</f>
        <v>550.51705800000013</v>
      </c>
      <c r="M124" s="59">
        <f>+L124*(1+M125)</f>
        <v>732.18768714000021</v>
      </c>
      <c r="N124" s="59">
        <f>+M124*(1+N125)</f>
        <v>973.80962389620038</v>
      </c>
    </row>
    <row r="125" spans="1:14" x14ac:dyDescent="0.25">
      <c r="A125" s="69" t="s">
        <v>201</v>
      </c>
      <c r="B125" s="66" t="str">
        <f t="shared" ref="B125:I125" si="94">+IFERROR(B124/A124-1,"nm")</f>
        <v>nm</v>
      </c>
      <c r="C125" s="66">
        <f t="shared" si="94"/>
        <v>2.6986301369863015</v>
      </c>
      <c r="D125" s="66">
        <f t="shared" si="94"/>
        <v>-1.1111111111111072E-2</v>
      </c>
      <c r="E125" s="66">
        <f t="shared" si="94"/>
        <v>-8.6142322097378266E-2</v>
      </c>
      <c r="F125" s="66">
        <f t="shared" si="94"/>
        <v>-2.8688524590163911E-2</v>
      </c>
      <c r="G125" s="66">
        <f t="shared" si="94"/>
        <v>-9.7046413502109741E-2</v>
      </c>
      <c r="H125" s="66">
        <f t="shared" si="94"/>
        <v>-0.11214953271028039</v>
      </c>
      <c r="I125" s="66">
        <f t="shared" si="94"/>
        <v>0.23157894736842111</v>
      </c>
      <c r="J125" s="65">
        <f>+J126+J127</f>
        <v>0.33</v>
      </c>
      <c r="K125" s="65">
        <f>+K126+K127</f>
        <v>0.33</v>
      </c>
      <c r="L125" s="65">
        <f>+L126+L127</f>
        <v>0.33</v>
      </c>
      <c r="M125" s="65">
        <f>+M126+M127</f>
        <v>0.33</v>
      </c>
      <c r="N125" s="65">
        <f>+N126+N127</f>
        <v>0.33</v>
      </c>
    </row>
    <row r="126" spans="1:14" x14ac:dyDescent="0.25">
      <c r="A126" s="69" t="s">
        <v>210</v>
      </c>
      <c r="B126" s="66">
        <f>+Historicals!B198</f>
        <v>0</v>
      </c>
      <c r="C126" s="66">
        <f>+Historicals!C198</f>
        <v>2.6986301369863015</v>
      </c>
      <c r="D126" s="66">
        <f>+Historicals!D198</f>
        <v>-1.1111111111111112E-2</v>
      </c>
      <c r="E126" s="66">
        <f>+Historicals!E198</f>
        <v>-8.6142322097378279E-2</v>
      </c>
      <c r="F126" s="66">
        <f>+Historicals!F198</f>
        <v>-2.8688524590163935E-2</v>
      </c>
      <c r="G126" s="66">
        <f>+Historicals!G198</f>
        <v>-9.7046413502109699E-2</v>
      </c>
      <c r="H126" s="66">
        <f>+Historicals!H198</f>
        <v>-0.11214953271028037</v>
      </c>
      <c r="I126" s="66">
        <f>+Historicals!I198</f>
        <v>0.28000000000000003</v>
      </c>
      <c r="J126" s="65">
        <v>0.33</v>
      </c>
      <c r="K126" s="65">
        <f t="shared" ref="K126:N127" si="95">+J126</f>
        <v>0.33</v>
      </c>
      <c r="L126" s="65">
        <f t="shared" si="95"/>
        <v>0.33</v>
      </c>
      <c r="M126" s="65">
        <f t="shared" si="95"/>
        <v>0.33</v>
      </c>
      <c r="N126" s="65">
        <f t="shared" si="95"/>
        <v>0.33</v>
      </c>
    </row>
    <row r="127" spans="1:14" x14ac:dyDescent="0.25">
      <c r="A127" s="69" t="s">
        <v>209</v>
      </c>
      <c r="B127" s="66" t="str">
        <f t="shared" ref="B127:I127" si="96">+IFERROR(B125-B126,"nm")</f>
        <v>nm</v>
      </c>
      <c r="C127" s="66">
        <f t="shared" si="96"/>
        <v>0</v>
      </c>
      <c r="D127" s="66">
        <f t="shared" si="96"/>
        <v>3.9898639947466563E-17</v>
      </c>
      <c r="E127" s="66">
        <f t="shared" si="96"/>
        <v>1.3877787807814457E-17</v>
      </c>
      <c r="F127" s="66">
        <f t="shared" si="96"/>
        <v>2.4286128663675299E-17</v>
      </c>
      <c r="G127" s="66">
        <f t="shared" si="96"/>
        <v>-4.163336342344337E-17</v>
      </c>
      <c r="H127" s="66">
        <f t="shared" si="96"/>
        <v>-1.3877787807814457E-17</v>
      </c>
      <c r="I127" s="66">
        <f t="shared" si="96"/>
        <v>-4.842105263157892E-2</v>
      </c>
      <c r="J127" s="65">
        <v>0</v>
      </c>
      <c r="K127" s="65">
        <f t="shared" si="95"/>
        <v>0</v>
      </c>
      <c r="L127" s="65">
        <f t="shared" si="95"/>
        <v>0</v>
      </c>
      <c r="M127" s="65">
        <f t="shared" si="95"/>
        <v>0</v>
      </c>
      <c r="N127" s="65">
        <f t="shared" si="95"/>
        <v>0</v>
      </c>
    </row>
    <row r="128" spans="1:14" x14ac:dyDescent="0.25">
      <c r="A128" s="68" t="s">
        <v>206</v>
      </c>
      <c r="B128" s="68">
        <f t="shared" ref="B128:I128" si="97">+B135+B131</f>
        <v>122</v>
      </c>
      <c r="C128" s="68">
        <f t="shared" si="97"/>
        <v>1044</v>
      </c>
      <c r="D128" s="68">
        <f t="shared" si="97"/>
        <v>1034</v>
      </c>
      <c r="E128" s="68">
        <f t="shared" si="97"/>
        <v>1244</v>
      </c>
      <c r="F128" s="68">
        <f t="shared" si="97"/>
        <v>1376</v>
      </c>
      <c r="G128" s="68">
        <f t="shared" si="97"/>
        <v>1230</v>
      </c>
      <c r="H128" s="68">
        <f t="shared" si="97"/>
        <v>1573</v>
      </c>
      <c r="I128" s="68">
        <f t="shared" si="97"/>
        <v>1938</v>
      </c>
      <c r="J128" s="59">
        <f>+J114*J130</f>
        <v>567.67359999999996</v>
      </c>
      <c r="K128" s="59">
        <f>+K114*K130</f>
        <v>677.03900799999985</v>
      </c>
      <c r="L128" s="59">
        <f>+L114*L130</f>
        <v>808.2347046399999</v>
      </c>
      <c r="M128" s="59">
        <f>+M114*M130</f>
        <v>965.81258797119983</v>
      </c>
      <c r="N128" s="59">
        <f>+N114*N130</f>
        <v>1155.3262572616957</v>
      </c>
    </row>
    <row r="129" spans="1:14" x14ac:dyDescent="0.25">
      <c r="A129" s="67" t="s">
        <v>201</v>
      </c>
      <c r="B129" s="66" t="str">
        <f t="shared" ref="B129:N129" si="98">+IFERROR(B128/A128-1,"nm")</f>
        <v>nm</v>
      </c>
      <c r="C129" s="66">
        <f t="shared" si="98"/>
        <v>7.557377049180328</v>
      </c>
      <c r="D129" s="66">
        <f t="shared" si="98"/>
        <v>-9.5785440613026518E-3</v>
      </c>
      <c r="E129" s="66">
        <f t="shared" si="98"/>
        <v>0.20309477756286265</v>
      </c>
      <c r="F129" s="66">
        <f t="shared" si="98"/>
        <v>0.10610932475884249</v>
      </c>
      <c r="G129" s="66">
        <f t="shared" si="98"/>
        <v>-0.10610465116279066</v>
      </c>
      <c r="H129" s="66">
        <f t="shared" si="98"/>
        <v>0.27886178861788613</v>
      </c>
      <c r="I129" s="66">
        <f t="shared" si="98"/>
        <v>0.23204068658614108</v>
      </c>
      <c r="J129" s="65">
        <f t="shared" si="98"/>
        <v>-0.7070827657378741</v>
      </c>
      <c r="K129" s="65">
        <f t="shared" si="98"/>
        <v>0.19265544143676916</v>
      </c>
      <c r="L129" s="65">
        <f t="shared" si="98"/>
        <v>0.19377863770000103</v>
      </c>
      <c r="M129" s="65">
        <f t="shared" si="98"/>
        <v>0.19496550002933555</v>
      </c>
      <c r="N129" s="65">
        <f t="shared" si="98"/>
        <v>0.19622199135816931</v>
      </c>
    </row>
    <row r="130" spans="1:14" x14ac:dyDescent="0.25">
      <c r="A130" s="67" t="s">
        <v>203</v>
      </c>
      <c r="B130" s="66">
        <f t="shared" ref="B130:I130" si="99">+IFERROR(B128/B$114,"nm")</f>
        <v>0.16158940397350993</v>
      </c>
      <c r="C130" s="66">
        <f t="shared" si="99"/>
        <v>0.24183460736622656</v>
      </c>
      <c r="D130" s="66">
        <f t="shared" si="99"/>
        <v>0.21828161283512773</v>
      </c>
      <c r="E130" s="66">
        <f t="shared" si="99"/>
        <v>0.2408052651955091</v>
      </c>
      <c r="F130" s="66">
        <f t="shared" si="99"/>
        <v>0.26189569851541683</v>
      </c>
      <c r="G130" s="66">
        <f t="shared" si="99"/>
        <v>0.24463007159904535</v>
      </c>
      <c r="H130" s="66">
        <f t="shared" si="99"/>
        <v>0.2944038929440389</v>
      </c>
      <c r="I130" s="66">
        <f t="shared" si="99"/>
        <v>0.32544080604534004</v>
      </c>
      <c r="J130" s="65">
        <v>0.08</v>
      </c>
      <c r="K130" s="65">
        <f>+J130</f>
        <v>0.08</v>
      </c>
      <c r="L130" s="65">
        <f>+K130</f>
        <v>0.08</v>
      </c>
      <c r="M130" s="65">
        <f>+L130</f>
        <v>0.08</v>
      </c>
      <c r="N130" s="65">
        <f>+M130</f>
        <v>0.08</v>
      </c>
    </row>
    <row r="131" spans="1:14" x14ac:dyDescent="0.25">
      <c r="A131" s="68" t="s">
        <v>205</v>
      </c>
      <c r="B131" s="68">
        <f>+Historicals!B174</f>
        <v>22</v>
      </c>
      <c r="C131" s="68">
        <f>+Historicals!C174</f>
        <v>42</v>
      </c>
      <c r="D131" s="68">
        <f>+Historicals!D174</f>
        <v>54</v>
      </c>
      <c r="E131" s="68">
        <f>+Historicals!E174</f>
        <v>55</v>
      </c>
      <c r="F131" s="68">
        <f>+Historicals!F174</f>
        <v>53</v>
      </c>
      <c r="G131" s="68">
        <f>+Historicals!G174</f>
        <v>46</v>
      </c>
      <c r="H131" s="68">
        <f>+Historicals!H174</f>
        <v>43</v>
      </c>
      <c r="I131" s="68">
        <f>+Historicals!I174</f>
        <v>42</v>
      </c>
      <c r="J131" s="59">
        <f>+J134*J141</f>
        <v>372.53580000000005</v>
      </c>
      <c r="K131" s="59">
        <f>+K134*K141</f>
        <v>444.306849</v>
      </c>
      <c r="L131" s="59">
        <f>+L134*L141</f>
        <v>530.40402491999998</v>
      </c>
      <c r="M131" s="59">
        <f>+M134*M141</f>
        <v>633.81451085610001</v>
      </c>
      <c r="N131" s="59">
        <f>+N134*N141</f>
        <v>758.18285632798779</v>
      </c>
    </row>
    <row r="132" spans="1:14" x14ac:dyDescent="0.25">
      <c r="A132" s="67" t="s">
        <v>201</v>
      </c>
      <c r="B132" s="66" t="str">
        <f t="shared" ref="B132:N132" si="100">+IFERROR(B131/A131-1,"nm")</f>
        <v>nm</v>
      </c>
      <c r="C132" s="66">
        <f t="shared" si="100"/>
        <v>0.90909090909090917</v>
      </c>
      <c r="D132" s="66">
        <f t="shared" si="100"/>
        <v>0.28571428571428581</v>
      </c>
      <c r="E132" s="66">
        <f t="shared" si="100"/>
        <v>1.8518518518518601E-2</v>
      </c>
      <c r="F132" s="66">
        <f t="shared" si="100"/>
        <v>-3.6363636363636376E-2</v>
      </c>
      <c r="G132" s="66">
        <f t="shared" si="100"/>
        <v>-0.13207547169811318</v>
      </c>
      <c r="H132" s="66">
        <f t="shared" si="100"/>
        <v>-6.5217391304347783E-2</v>
      </c>
      <c r="I132" s="66">
        <f t="shared" si="100"/>
        <v>-2.3255813953488413E-2</v>
      </c>
      <c r="J132" s="65">
        <f t="shared" si="100"/>
        <v>7.8699000000000012</v>
      </c>
      <c r="K132" s="65">
        <f t="shared" si="100"/>
        <v>0.19265544143676916</v>
      </c>
      <c r="L132" s="65">
        <f t="shared" si="100"/>
        <v>0.19377863770000081</v>
      </c>
      <c r="M132" s="65">
        <f t="shared" si="100"/>
        <v>0.19496550002933577</v>
      </c>
      <c r="N132" s="65">
        <f t="shared" si="100"/>
        <v>0.19622199135816909</v>
      </c>
    </row>
    <row r="133" spans="1:14" x14ac:dyDescent="0.25">
      <c r="A133" s="67" t="s">
        <v>200</v>
      </c>
      <c r="B133" s="66">
        <f t="shared" ref="B133:I133" si="101">+IFERROR(B131/B$114,"nm")</f>
        <v>2.9139072847682121E-2</v>
      </c>
      <c r="C133" s="66">
        <f t="shared" si="101"/>
        <v>9.7289784572619879E-3</v>
      </c>
      <c r="D133" s="66">
        <f t="shared" si="101"/>
        <v>1.1399620012666244E-2</v>
      </c>
      <c r="E133" s="66">
        <f t="shared" si="101"/>
        <v>1.064653503677894E-2</v>
      </c>
      <c r="F133" s="66">
        <f t="shared" si="101"/>
        <v>1.0087552341073468E-2</v>
      </c>
      <c r="G133" s="66">
        <f t="shared" si="101"/>
        <v>9.148766905330152E-3</v>
      </c>
      <c r="H133" s="66">
        <f t="shared" si="101"/>
        <v>8.0479131574022079E-3</v>
      </c>
      <c r="I133" s="66">
        <f t="shared" si="101"/>
        <v>7.0528967254408059E-3</v>
      </c>
      <c r="J133" s="65">
        <f>+IFERROR(J131/J$21,"nm")</f>
        <v>1.9483030211745807E-2</v>
      </c>
      <c r="K133" s="65">
        <f>+IFERROR(K131/K$21,"nm")</f>
        <v>2.2283155439961108E-2</v>
      </c>
      <c r="L133" s="65">
        <f>+IFERROR(L131/L$21,"nm")</f>
        <v>2.5483817389082702E-2</v>
      </c>
      <c r="M133" s="65">
        <f>+IFERROR(M131/M$21,"nm")</f>
        <v>2.9139730317918083E-2</v>
      </c>
      <c r="N133" s="65">
        <f>+IFERROR(N131/N$21,"nm")</f>
        <v>3.3312005622351246E-2</v>
      </c>
    </row>
    <row r="134" spans="1:14" x14ac:dyDescent="0.25">
      <c r="A134" s="67" t="s">
        <v>140</v>
      </c>
      <c r="B134" s="66">
        <f t="shared" ref="B134:I134" si="102">+IFERROR(B131/B141,"nm")</f>
        <v>1.4666666666666666</v>
      </c>
      <c r="C134" s="66">
        <f t="shared" si="102"/>
        <v>0.67741935483870963</v>
      </c>
      <c r="D134" s="66">
        <f t="shared" si="102"/>
        <v>0.9152542372881356</v>
      </c>
      <c r="E134" s="66">
        <f t="shared" si="102"/>
        <v>1.1224489795918366</v>
      </c>
      <c r="F134" s="66">
        <f t="shared" si="102"/>
        <v>1.1276595744680851</v>
      </c>
      <c r="G134" s="66">
        <f t="shared" si="102"/>
        <v>1.1219512195121952</v>
      </c>
      <c r="H134" s="66">
        <f t="shared" si="102"/>
        <v>0.79629629629629628</v>
      </c>
      <c r="I134" s="66">
        <f t="shared" si="102"/>
        <v>0.75</v>
      </c>
      <c r="J134" s="65">
        <f>+I134</f>
        <v>0.75</v>
      </c>
      <c r="K134" s="65">
        <f>+J134</f>
        <v>0.75</v>
      </c>
      <c r="L134" s="65">
        <f>+K134</f>
        <v>0.75</v>
      </c>
      <c r="M134" s="65">
        <f>+L134</f>
        <v>0.75</v>
      </c>
      <c r="N134" s="65">
        <f>+M134</f>
        <v>0.75</v>
      </c>
    </row>
    <row r="135" spans="1:14" x14ac:dyDescent="0.25">
      <c r="A135" s="68" t="s">
        <v>204</v>
      </c>
      <c r="B135" s="68">
        <f>+Historicals!B141</f>
        <v>100</v>
      </c>
      <c r="C135" s="68">
        <f>+Historicals!C141</f>
        <v>1002</v>
      </c>
      <c r="D135" s="68">
        <f>+Historicals!D141</f>
        <v>980</v>
      </c>
      <c r="E135" s="68">
        <f>+Historicals!E141</f>
        <v>1189</v>
      </c>
      <c r="F135" s="68">
        <f>+Historicals!F141</f>
        <v>1323</v>
      </c>
      <c r="G135" s="68">
        <f>+Historicals!G141</f>
        <v>1184</v>
      </c>
      <c r="H135" s="68">
        <f>+Historicals!H141</f>
        <v>1530</v>
      </c>
      <c r="I135" s="68">
        <f>+Historicals!I141</f>
        <v>1896</v>
      </c>
      <c r="J135" s="59">
        <f>+J128-J131</f>
        <v>195.13779999999991</v>
      </c>
      <c r="K135" s="59">
        <f>+K128-K131</f>
        <v>232.73215899999985</v>
      </c>
      <c r="L135" s="59">
        <f>+L128-L131</f>
        <v>277.83067971999992</v>
      </c>
      <c r="M135" s="59">
        <f>+M128-M131</f>
        <v>331.99807711509982</v>
      </c>
      <c r="N135" s="59">
        <f>+N128-N131</f>
        <v>397.14340093370788</v>
      </c>
    </row>
    <row r="136" spans="1:14" x14ac:dyDescent="0.25">
      <c r="A136" s="67" t="s">
        <v>201</v>
      </c>
      <c r="B136" s="66" t="str">
        <f t="shared" ref="B136:N136" si="103">+IFERROR(B135/A135-1,"nm")</f>
        <v>nm</v>
      </c>
      <c r="C136" s="66">
        <f t="shared" si="103"/>
        <v>9.02</v>
      </c>
      <c r="D136" s="66">
        <f t="shared" si="103"/>
        <v>-2.1956087824351322E-2</v>
      </c>
      <c r="E136" s="66">
        <f t="shared" si="103"/>
        <v>0.21326530612244898</v>
      </c>
      <c r="F136" s="66">
        <f t="shared" si="103"/>
        <v>0.11269974768713209</v>
      </c>
      <c r="G136" s="66">
        <f t="shared" si="103"/>
        <v>-0.1050642479213908</v>
      </c>
      <c r="H136" s="66">
        <f t="shared" si="103"/>
        <v>0.29222972972972983</v>
      </c>
      <c r="I136" s="66">
        <f t="shared" si="103"/>
        <v>0.23921568627450984</v>
      </c>
      <c r="J136" s="65">
        <f t="shared" si="103"/>
        <v>-0.8970792194092827</v>
      </c>
      <c r="K136" s="65">
        <f t="shared" si="103"/>
        <v>0.19265544143676916</v>
      </c>
      <c r="L136" s="65">
        <f t="shared" si="103"/>
        <v>0.19377863770000125</v>
      </c>
      <c r="M136" s="65">
        <f t="shared" si="103"/>
        <v>0.19496550002933533</v>
      </c>
      <c r="N136" s="65">
        <f t="shared" si="103"/>
        <v>0.19622199135816976</v>
      </c>
    </row>
    <row r="137" spans="1:14" x14ac:dyDescent="0.25">
      <c r="A137" s="67" t="s">
        <v>203</v>
      </c>
      <c r="B137" s="66">
        <f t="shared" ref="B137:I137" si="104">+IFERROR(B135/B$114,"nm")</f>
        <v>0.13245033112582782</v>
      </c>
      <c r="C137" s="66">
        <f t="shared" si="104"/>
        <v>0.23210562890896455</v>
      </c>
      <c r="D137" s="66">
        <f t="shared" si="104"/>
        <v>0.20688199282246147</v>
      </c>
      <c r="E137" s="66">
        <f t="shared" si="104"/>
        <v>0.23015873015873015</v>
      </c>
      <c r="F137" s="66">
        <f t="shared" si="104"/>
        <v>0.25180814617434338</v>
      </c>
      <c r="G137" s="66">
        <f t="shared" si="104"/>
        <v>0.2354813046937152</v>
      </c>
      <c r="H137" s="66">
        <f t="shared" si="104"/>
        <v>0.28635597978663674</v>
      </c>
      <c r="I137" s="66">
        <f t="shared" si="104"/>
        <v>0.31838790931989924</v>
      </c>
      <c r="J137" s="65">
        <f>+IFERROR(J135/J$21,"nm")</f>
        <v>1.020539677758113E-2</v>
      </c>
      <c r="K137" s="65">
        <f>+IFERROR(K135/K$21,"nm")</f>
        <v>1.167212903997962E-2</v>
      </c>
      <c r="L137" s="65">
        <f>+IFERROR(L135/L$21,"nm")</f>
        <v>1.3348666251424269E-2</v>
      </c>
      <c r="M137" s="65">
        <f>+IFERROR(M135/M$21,"nm")</f>
        <v>1.5263668261766606E-2</v>
      </c>
      <c r="N137" s="65">
        <f>+IFERROR(N135/N$21,"nm")</f>
        <v>1.7449145802183985E-2</v>
      </c>
    </row>
    <row r="138" spans="1:14" x14ac:dyDescent="0.25">
      <c r="A138" s="68" t="s">
        <v>202</v>
      </c>
      <c r="B138" s="68">
        <f>+Historicals!B163</f>
        <v>15</v>
      </c>
      <c r="C138" s="68">
        <f>+Historicals!C163</f>
        <v>62</v>
      </c>
      <c r="D138" s="68">
        <f>+Historicals!D163</f>
        <v>59</v>
      </c>
      <c r="E138" s="68">
        <f>+Historicals!E163</f>
        <v>49</v>
      </c>
      <c r="F138" s="68">
        <f>+Historicals!F163</f>
        <v>47</v>
      </c>
      <c r="G138" s="68">
        <f>+Historicals!G163</f>
        <v>41</v>
      </c>
      <c r="H138" s="68">
        <f>+Historicals!H163</f>
        <v>54</v>
      </c>
      <c r="I138" s="68">
        <f>+Historicals!I163</f>
        <v>56</v>
      </c>
      <c r="J138" s="59">
        <f>+J114*J140</f>
        <v>66.729054575986567</v>
      </c>
      <c r="K138" s="59">
        <f>+K114*K140</f>
        <v>79.584770041981514</v>
      </c>
      <c r="L138" s="59">
        <f>+L114*L140</f>
        <v>95.006598362384523</v>
      </c>
      <c r="M138" s="59">
        <f>+M114*M140</f>
        <v>113.52960731819309</v>
      </c>
      <c r="N138" s="59">
        <f>+N114*N140</f>
        <v>135.80661294427992</v>
      </c>
    </row>
    <row r="139" spans="1:14" x14ac:dyDescent="0.25">
      <c r="A139" s="67" t="s">
        <v>201</v>
      </c>
      <c r="B139" s="66" t="str">
        <f t="shared" ref="B139:I139" si="105">+IFERROR(B138/A138-1,"nm")</f>
        <v>nm</v>
      </c>
      <c r="C139" s="66">
        <f t="shared" si="105"/>
        <v>3.1333333333333337</v>
      </c>
      <c r="D139" s="66">
        <f t="shared" si="105"/>
        <v>-4.8387096774193505E-2</v>
      </c>
      <c r="E139" s="66">
        <f t="shared" si="105"/>
        <v>-0.16949152542372881</v>
      </c>
      <c r="F139" s="66">
        <f t="shared" si="105"/>
        <v>-4.081632653061229E-2</v>
      </c>
      <c r="G139" s="66">
        <f t="shared" si="105"/>
        <v>-0.12765957446808507</v>
      </c>
      <c r="H139" s="66">
        <f t="shared" si="105"/>
        <v>0.31707317073170738</v>
      </c>
      <c r="I139" s="66">
        <f t="shared" si="105"/>
        <v>3.7037037037036979E-2</v>
      </c>
      <c r="J139" s="65">
        <v>0</v>
      </c>
      <c r="K139" s="65">
        <f>+IFERROR(K138/J138-1,"nm")</f>
        <v>0.19265544143676916</v>
      </c>
      <c r="L139" s="65">
        <f>+IFERROR(L138/K138-1,"nm")</f>
        <v>0.19377863770000081</v>
      </c>
      <c r="M139" s="65">
        <f>+IFERROR(M138/L138-1,"nm")</f>
        <v>0.19496550002933577</v>
      </c>
      <c r="N139" s="65">
        <f>+IFERROR(N138/M138-1,"nm")</f>
        <v>0.19622199135816931</v>
      </c>
    </row>
    <row r="140" spans="1:14" x14ac:dyDescent="0.25">
      <c r="A140" s="67" t="s">
        <v>200</v>
      </c>
      <c r="B140" s="66">
        <f t="shared" ref="B140:I140" si="106">+IFERROR(B138/B$114,"nm")</f>
        <v>1.9867549668874173E-2</v>
      </c>
      <c r="C140" s="66">
        <f t="shared" si="106"/>
        <v>1.4361825341672458E-2</v>
      </c>
      <c r="D140" s="66">
        <f t="shared" si="106"/>
        <v>1.2455140384209416E-2</v>
      </c>
      <c r="E140" s="66">
        <f t="shared" si="106"/>
        <v>9.485094850948509E-3</v>
      </c>
      <c r="F140" s="66">
        <f t="shared" si="106"/>
        <v>8.9455652835934533E-3</v>
      </c>
      <c r="G140" s="66">
        <f t="shared" si="106"/>
        <v>8.1543357199681775E-3</v>
      </c>
      <c r="H140" s="66">
        <f t="shared" si="106"/>
        <v>1.0106681639528355E-2</v>
      </c>
      <c r="I140" s="66">
        <f t="shared" si="106"/>
        <v>9.4038623005877411E-3</v>
      </c>
      <c r="J140" s="65">
        <f>+I140</f>
        <v>9.4038623005877411E-3</v>
      </c>
      <c r="K140" s="65">
        <f>+J140</f>
        <v>9.4038623005877411E-3</v>
      </c>
      <c r="L140" s="65">
        <f>+K140</f>
        <v>9.4038623005877411E-3</v>
      </c>
      <c r="M140" s="65">
        <f>+L140</f>
        <v>9.4038623005877411E-3</v>
      </c>
      <c r="N140" s="65">
        <f>+M140</f>
        <v>9.4038623005877411E-3</v>
      </c>
    </row>
    <row r="141" spans="1:14" x14ac:dyDescent="0.25">
      <c r="A141" s="9" t="s">
        <v>141</v>
      </c>
      <c r="B141" s="9">
        <f>+Historicals!B163</f>
        <v>15</v>
      </c>
      <c r="C141" s="9">
        <f>+Historicals!C163</f>
        <v>62</v>
      </c>
      <c r="D141" s="9">
        <f>+Historicals!D163</f>
        <v>59</v>
      </c>
      <c r="E141" s="9">
        <f>+Historicals!E163</f>
        <v>49</v>
      </c>
      <c r="F141" s="9">
        <f>+Historicals!F163</f>
        <v>47</v>
      </c>
      <c r="G141" s="9">
        <f>+Historicals!G163</f>
        <v>41</v>
      </c>
      <c r="H141" s="70">
        <f>+Historicals!H163</f>
        <v>54</v>
      </c>
      <c r="I141" s="70">
        <f>+Historicals!I163</f>
        <v>56</v>
      </c>
      <c r="J141" s="59">
        <f>+J114*J143</f>
        <v>496.71440000000007</v>
      </c>
      <c r="K141" s="59">
        <f>+K114*K143</f>
        <v>592.409132</v>
      </c>
      <c r="L141" s="59">
        <f>+L114*L143</f>
        <v>707.2053665599999</v>
      </c>
      <c r="M141" s="59">
        <f>+M114*M143</f>
        <v>845.08601447479998</v>
      </c>
      <c r="N141" s="59">
        <f>+N114*N143</f>
        <v>1010.9104751039838</v>
      </c>
    </row>
    <row r="142" spans="1:14" x14ac:dyDescent="0.25">
      <c r="A142" s="46" t="s">
        <v>129</v>
      </c>
      <c r="B142" s="47" t="str">
        <f t="shared" ref="B142:I142" si="107">+IFERROR(B141/A141-1,"nm")</f>
        <v>nm</v>
      </c>
      <c r="C142" s="47">
        <f t="shared" si="107"/>
        <v>3.1333333333333337</v>
      </c>
      <c r="D142" s="47">
        <f t="shared" si="107"/>
        <v>-4.8387096774193505E-2</v>
      </c>
      <c r="E142" s="47">
        <f t="shared" si="107"/>
        <v>-0.16949152542372881</v>
      </c>
      <c r="F142" s="47">
        <f t="shared" si="107"/>
        <v>-4.081632653061229E-2</v>
      </c>
      <c r="G142" s="47">
        <f t="shared" si="107"/>
        <v>-0.12765957446808507</v>
      </c>
      <c r="H142" s="66">
        <f t="shared" si="107"/>
        <v>0.31707317073170738</v>
      </c>
      <c r="I142" s="66">
        <f t="shared" si="107"/>
        <v>3.7037037037036979E-2</v>
      </c>
      <c r="J142" s="65">
        <f>+J143+J144</f>
        <v>7.0000000000000007E-2</v>
      </c>
      <c r="K142" s="65">
        <f>+K143+K144</f>
        <v>7.0000000000000007E-2</v>
      </c>
      <c r="L142" s="65">
        <f>+L143+L144</f>
        <v>7.0000000000000007E-2</v>
      </c>
      <c r="M142" s="65">
        <f>+M143+M144</f>
        <v>7.0000000000000007E-2</v>
      </c>
      <c r="N142" s="65">
        <f>+N143+N144</f>
        <v>7.0000000000000007E-2</v>
      </c>
    </row>
    <row r="143" spans="1:14" x14ac:dyDescent="0.25">
      <c r="A143" s="46" t="s">
        <v>133</v>
      </c>
      <c r="B143" s="47">
        <f t="shared" ref="B143:I143" si="108">+IFERROR(B141/B$114,"nm")</f>
        <v>1.9867549668874173E-2</v>
      </c>
      <c r="C143" s="47">
        <f t="shared" si="108"/>
        <v>1.4361825341672458E-2</v>
      </c>
      <c r="D143" s="47">
        <f t="shared" si="108"/>
        <v>1.2455140384209416E-2</v>
      </c>
      <c r="E143" s="47">
        <f t="shared" si="108"/>
        <v>9.485094850948509E-3</v>
      </c>
      <c r="F143" s="47">
        <f t="shared" si="108"/>
        <v>8.9455652835934533E-3</v>
      </c>
      <c r="G143" s="47">
        <f t="shared" si="108"/>
        <v>8.1543357199681775E-3</v>
      </c>
      <c r="H143" s="66">
        <f t="shared" si="108"/>
        <v>1.0106681639528355E-2</v>
      </c>
      <c r="I143" s="66">
        <f t="shared" si="108"/>
        <v>9.4038623005877411E-3</v>
      </c>
      <c r="J143" s="65">
        <v>7.0000000000000007E-2</v>
      </c>
      <c r="K143" s="65">
        <f>+J143</f>
        <v>7.0000000000000007E-2</v>
      </c>
      <c r="L143" s="65">
        <f>+K143</f>
        <v>7.0000000000000007E-2</v>
      </c>
      <c r="M143" s="65">
        <f>+L143</f>
        <v>7.0000000000000007E-2</v>
      </c>
      <c r="N143" s="65">
        <f>+M143</f>
        <v>7.0000000000000007E-2</v>
      </c>
    </row>
    <row r="144" spans="1:14" x14ac:dyDescent="0.25">
      <c r="A144" t="str">
        <f>+Historicals!A127</f>
        <v>Global Brand Divisions</v>
      </c>
    </row>
    <row r="145" spans="1:14" x14ac:dyDescent="0.25">
      <c r="A145" s="9" t="s">
        <v>136</v>
      </c>
      <c r="B145" s="9">
        <f>+Historicals!B127</f>
        <v>115</v>
      </c>
      <c r="C145" s="9">
        <f>+Historicals!C127</f>
        <v>73</v>
      </c>
      <c r="D145" s="9">
        <f>+Historicals!D127</f>
        <v>73</v>
      </c>
      <c r="E145" s="9">
        <f>+Historicals!E127</f>
        <v>88</v>
      </c>
      <c r="F145" s="9">
        <f>+Historicals!F127</f>
        <v>42</v>
      </c>
      <c r="G145" s="9">
        <f>+Historicals!G127</f>
        <v>30</v>
      </c>
      <c r="H145" s="9">
        <f>+Historicals!H127</f>
        <v>25</v>
      </c>
      <c r="I145" s="9">
        <f>+Historicals!I127</f>
        <v>102</v>
      </c>
      <c r="J145" s="59">
        <f>I145*J146</f>
        <v>132.6</v>
      </c>
      <c r="K145" s="59">
        <f>J145*K146</f>
        <v>145.86000000000001</v>
      </c>
      <c r="L145" s="59">
        <f>K145*L146</f>
        <v>160.44600000000003</v>
      </c>
      <c r="M145" s="59">
        <f>L145*M146</f>
        <v>176.49060000000006</v>
      </c>
      <c r="N145" s="59">
        <f>M145*N146</f>
        <v>194.13966000000008</v>
      </c>
    </row>
    <row r="146" spans="1:14" x14ac:dyDescent="0.25">
      <c r="A146" s="44" t="s">
        <v>129</v>
      </c>
      <c r="B146" s="47" t="str">
        <f t="shared" ref="B146:I146" si="109">+IFERROR(B145/A145-1,"nm")</f>
        <v>nm</v>
      </c>
      <c r="C146" s="47">
        <f t="shared" si="109"/>
        <v>-0.36521739130434783</v>
      </c>
      <c r="D146" s="47">
        <f t="shared" si="109"/>
        <v>0</v>
      </c>
      <c r="E146" s="47">
        <f t="shared" si="109"/>
        <v>0.20547945205479445</v>
      </c>
      <c r="F146" s="47">
        <f t="shared" si="109"/>
        <v>-0.52272727272727271</v>
      </c>
      <c r="G146" s="47">
        <f t="shared" si="109"/>
        <v>-0.2857142857142857</v>
      </c>
      <c r="H146" s="47">
        <f t="shared" si="109"/>
        <v>-0.16666666666666663</v>
      </c>
      <c r="I146" s="47">
        <f t="shared" si="109"/>
        <v>3.08</v>
      </c>
      <c r="J146" s="65">
        <v>1.3</v>
      </c>
      <c r="K146" s="65">
        <v>1.1000000000000001</v>
      </c>
      <c r="L146" s="65">
        <v>1.1000000000000001</v>
      </c>
      <c r="M146" s="65">
        <v>1.1000000000000001</v>
      </c>
      <c r="N146" s="65">
        <v>1.1000000000000001</v>
      </c>
    </row>
    <row r="147" spans="1:14" x14ac:dyDescent="0.25">
      <c r="A147" s="9" t="s">
        <v>130</v>
      </c>
      <c r="B147" s="48">
        <f t="shared" ref="B147:I147" si="110">+B154+B150</f>
        <v>-2057</v>
      </c>
      <c r="C147" s="48">
        <f t="shared" si="110"/>
        <v>-2366</v>
      </c>
      <c r="D147" s="48">
        <f t="shared" si="110"/>
        <v>-2444</v>
      </c>
      <c r="E147" s="48">
        <f t="shared" si="110"/>
        <v>-2441</v>
      </c>
      <c r="F147" s="48">
        <f t="shared" si="110"/>
        <v>-3067</v>
      </c>
      <c r="G147" s="48">
        <f t="shared" si="110"/>
        <v>-3254</v>
      </c>
      <c r="H147" s="48">
        <f t="shared" si="110"/>
        <v>-3434</v>
      </c>
      <c r="I147" s="48">
        <f t="shared" si="110"/>
        <v>-4042</v>
      </c>
      <c r="J147" s="59">
        <f>J145*J149</f>
        <v>-5254.5999999999995</v>
      </c>
      <c r="K147" s="59">
        <f>K145*K149</f>
        <v>-5780.06</v>
      </c>
      <c r="L147" s="59">
        <f>L145*L149</f>
        <v>-6358.0660000000007</v>
      </c>
      <c r="M147" s="59">
        <f>M145*M149</f>
        <v>-6993.8726000000015</v>
      </c>
      <c r="N147" s="59">
        <f>N145*N149</f>
        <v>-7693.2598600000028</v>
      </c>
    </row>
    <row r="148" spans="1:14" x14ac:dyDescent="0.25">
      <c r="A148" s="46" t="s">
        <v>129</v>
      </c>
      <c r="B148" s="47" t="str">
        <f t="shared" ref="B148:I148" si="111">+IFERROR(B147/A147-1,"nm")</f>
        <v>nm</v>
      </c>
      <c r="C148" s="47">
        <f t="shared" si="111"/>
        <v>0.15021876519202726</v>
      </c>
      <c r="D148" s="47">
        <f t="shared" si="111"/>
        <v>3.2967032967033072E-2</v>
      </c>
      <c r="E148" s="47">
        <f t="shared" si="111"/>
        <v>-1.2274959083469206E-3</v>
      </c>
      <c r="F148" s="47">
        <f t="shared" si="111"/>
        <v>0.25645227365833678</v>
      </c>
      <c r="G148" s="47">
        <f t="shared" si="111"/>
        <v>6.0971633518095869E-2</v>
      </c>
      <c r="H148" s="47">
        <f t="shared" si="111"/>
        <v>5.5316533497234088E-2</v>
      </c>
      <c r="I148" s="47">
        <f t="shared" si="111"/>
        <v>0.1770529994175889</v>
      </c>
      <c r="J148" s="65">
        <v>0.15</v>
      </c>
      <c r="K148" s="65">
        <v>0.15</v>
      </c>
      <c r="L148" s="65">
        <v>0.15</v>
      </c>
      <c r="M148" s="65">
        <v>0.15</v>
      </c>
      <c r="N148" s="65">
        <v>0.15</v>
      </c>
    </row>
    <row r="149" spans="1:14" x14ac:dyDescent="0.25">
      <c r="A149" s="46" t="s">
        <v>131</v>
      </c>
      <c r="B149" s="47">
        <f t="shared" ref="B149:I149" si="112">+IFERROR(B147/B$145,"nm")</f>
        <v>-17.88695652173913</v>
      </c>
      <c r="C149" s="47">
        <f t="shared" si="112"/>
        <v>-32.410958904109592</v>
      </c>
      <c r="D149" s="47">
        <f t="shared" si="112"/>
        <v>-33.479452054794521</v>
      </c>
      <c r="E149" s="47">
        <f t="shared" si="112"/>
        <v>-27.738636363636363</v>
      </c>
      <c r="F149" s="47">
        <f t="shared" si="112"/>
        <v>-73.023809523809518</v>
      </c>
      <c r="G149" s="47">
        <f t="shared" si="112"/>
        <v>-108.46666666666667</v>
      </c>
      <c r="H149" s="47">
        <f t="shared" si="112"/>
        <v>-137.36000000000001</v>
      </c>
      <c r="I149" s="47">
        <f t="shared" si="112"/>
        <v>-39.627450980392155</v>
      </c>
      <c r="J149" s="65">
        <f>I149</f>
        <v>-39.627450980392155</v>
      </c>
      <c r="K149" s="65">
        <f>J149</f>
        <v>-39.627450980392155</v>
      </c>
      <c r="L149" s="65">
        <f>K149</f>
        <v>-39.627450980392155</v>
      </c>
      <c r="M149" s="65">
        <f>L149</f>
        <v>-39.627450980392155</v>
      </c>
      <c r="N149" s="65">
        <f>M149</f>
        <v>-39.627450980392155</v>
      </c>
    </row>
    <row r="150" spans="1:14" x14ac:dyDescent="0.25">
      <c r="A150" s="9" t="s">
        <v>132</v>
      </c>
      <c r="B150" s="9">
        <f>+Historicals!B175</f>
        <v>210</v>
      </c>
      <c r="C150" s="9">
        <f>+Historicals!C175</f>
        <v>230</v>
      </c>
      <c r="D150" s="9">
        <f>+Historicals!D175</f>
        <v>233</v>
      </c>
      <c r="E150" s="9">
        <f>+Historicals!E175</f>
        <v>217</v>
      </c>
      <c r="F150" s="9">
        <f>+Historicals!F175</f>
        <v>195</v>
      </c>
      <c r="G150" s="9">
        <f>+Historicals!G175</f>
        <v>214</v>
      </c>
      <c r="H150" s="9">
        <f>+Historicals!H175</f>
        <v>222</v>
      </c>
      <c r="I150" s="9">
        <f>+Historicals!I175</f>
        <v>220</v>
      </c>
      <c r="J150" s="59">
        <f>+J153*J160</f>
        <v>286</v>
      </c>
      <c r="K150" s="59">
        <f>+K153*K160</f>
        <v>314.60000000000002</v>
      </c>
      <c r="L150" s="59">
        <f>+L153*L160</f>
        <v>346.06000000000006</v>
      </c>
      <c r="M150" s="59">
        <f>+M153*M160</f>
        <v>380.66600000000011</v>
      </c>
      <c r="N150" s="59">
        <f>+N153*N160</f>
        <v>418.7326000000001</v>
      </c>
    </row>
    <row r="151" spans="1:14" x14ac:dyDescent="0.25">
      <c r="A151" s="46" t="s">
        <v>129</v>
      </c>
      <c r="B151" s="47" t="str">
        <f t="shared" ref="B151:N151" si="113">+IFERROR(B150/A150-1,"nm")</f>
        <v>nm</v>
      </c>
      <c r="C151" s="47">
        <f t="shared" si="113"/>
        <v>9.5238095238095344E-2</v>
      </c>
      <c r="D151" s="47">
        <f t="shared" si="113"/>
        <v>1.304347826086949E-2</v>
      </c>
      <c r="E151" s="47">
        <f t="shared" si="113"/>
        <v>-6.8669527896995763E-2</v>
      </c>
      <c r="F151" s="47">
        <f t="shared" si="113"/>
        <v>-0.10138248847926268</v>
      </c>
      <c r="G151" s="47">
        <f t="shared" si="113"/>
        <v>9.7435897435897534E-2</v>
      </c>
      <c r="H151" s="47">
        <f t="shared" si="113"/>
        <v>3.7383177570093462E-2</v>
      </c>
      <c r="I151" s="47">
        <f t="shared" si="113"/>
        <v>-9.009009009009028E-3</v>
      </c>
      <c r="J151" s="65">
        <f t="shared" si="113"/>
        <v>0.30000000000000004</v>
      </c>
      <c r="K151" s="65">
        <f t="shared" si="113"/>
        <v>0.10000000000000009</v>
      </c>
      <c r="L151" s="65">
        <f t="shared" si="113"/>
        <v>0.10000000000000009</v>
      </c>
      <c r="M151" s="65">
        <f t="shared" si="113"/>
        <v>0.10000000000000009</v>
      </c>
      <c r="N151" s="65">
        <f t="shared" si="113"/>
        <v>9.9999999999999867E-2</v>
      </c>
    </row>
    <row r="152" spans="1:14" x14ac:dyDescent="0.25">
      <c r="A152" s="46" t="s">
        <v>133</v>
      </c>
      <c r="B152" s="47">
        <f t="shared" ref="B152:I152" si="114">+IFERROR(B150/B$145,"nm")</f>
        <v>1.826086956521739</v>
      </c>
      <c r="C152" s="47">
        <f t="shared" si="114"/>
        <v>3.1506849315068495</v>
      </c>
      <c r="D152" s="47">
        <f t="shared" si="114"/>
        <v>3.1917808219178081</v>
      </c>
      <c r="E152" s="47">
        <f t="shared" si="114"/>
        <v>2.4659090909090908</v>
      </c>
      <c r="F152" s="47">
        <f t="shared" si="114"/>
        <v>4.6428571428571432</v>
      </c>
      <c r="G152" s="47">
        <f t="shared" si="114"/>
        <v>7.1333333333333337</v>
      </c>
      <c r="H152" s="47">
        <f t="shared" si="114"/>
        <v>8.8800000000000008</v>
      </c>
      <c r="I152" s="47">
        <f t="shared" si="114"/>
        <v>2.1568627450980391</v>
      </c>
      <c r="J152" s="65">
        <f>+IFERROR(J150/J$21,"nm")</f>
        <v>1.4957345416358105E-2</v>
      </c>
      <c r="K152" s="65">
        <f>+IFERROR(K150/K$21,"nm")</f>
        <v>1.577801629029528E-2</v>
      </c>
      <c r="L152" s="65">
        <f>+IFERROR(L150/L$21,"nm")</f>
        <v>1.6626815467692024E-2</v>
      </c>
      <c r="M152" s="65">
        <f>+IFERROR(M150/M$21,"nm")</f>
        <v>1.750118432318289E-2</v>
      </c>
      <c r="N152" s="65">
        <f>+IFERROR(N150/N$21,"nm")</f>
        <v>1.839770262416424E-2</v>
      </c>
    </row>
    <row r="153" spans="1:14" x14ac:dyDescent="0.25">
      <c r="A153" s="46" t="s">
        <v>140</v>
      </c>
      <c r="B153" s="47">
        <f t="shared" ref="B153:I153" si="115">+IFERROR(B150/B160,"nm")</f>
        <v>0.43388429752066116</v>
      </c>
      <c r="C153" s="47">
        <f t="shared" si="115"/>
        <v>0.45009784735812131</v>
      </c>
      <c r="D153" s="47">
        <f t="shared" si="115"/>
        <v>0.43714821763602252</v>
      </c>
      <c r="E153" s="47">
        <f t="shared" si="115"/>
        <v>0.36348408710217756</v>
      </c>
      <c r="F153" s="47">
        <f t="shared" si="115"/>
        <v>0.2932330827067669</v>
      </c>
      <c r="G153" s="47">
        <f t="shared" si="115"/>
        <v>0.25783132530120484</v>
      </c>
      <c r="H153" s="47">
        <f t="shared" si="115"/>
        <v>0.2846153846153846</v>
      </c>
      <c r="I153" s="47">
        <f t="shared" si="115"/>
        <v>0.27883396704689478</v>
      </c>
      <c r="J153" s="65">
        <f>+I153</f>
        <v>0.27883396704689478</v>
      </c>
      <c r="K153" s="65">
        <f>+J153</f>
        <v>0.27883396704689478</v>
      </c>
      <c r="L153" s="65">
        <f>+K153</f>
        <v>0.27883396704689478</v>
      </c>
      <c r="M153" s="65">
        <f>+L153</f>
        <v>0.27883396704689478</v>
      </c>
      <c r="N153" s="65">
        <f>+M153</f>
        <v>0.27883396704689478</v>
      </c>
    </row>
    <row r="154" spans="1:14" x14ac:dyDescent="0.25">
      <c r="A154" s="9" t="s">
        <v>134</v>
      </c>
      <c r="B154" s="9">
        <f>+Historicals!B142</f>
        <v>-2267</v>
      </c>
      <c r="C154" s="9">
        <f>+Historicals!C142</f>
        <v>-2596</v>
      </c>
      <c r="D154" s="9">
        <f>+Historicals!D142</f>
        <v>-2677</v>
      </c>
      <c r="E154" s="9">
        <f>+Historicals!E142</f>
        <v>-2658</v>
      </c>
      <c r="F154" s="9">
        <f>+Historicals!F142</f>
        <v>-3262</v>
      </c>
      <c r="G154" s="9">
        <f>+Historicals!G142</f>
        <v>-3468</v>
      </c>
      <c r="H154" s="9">
        <f>+Historicals!H142</f>
        <v>-3656</v>
      </c>
      <c r="I154" s="9">
        <f>+Historicals!I142</f>
        <v>-4262</v>
      </c>
      <c r="J154" s="59">
        <f>+J147-J150</f>
        <v>-5540.5999999999995</v>
      </c>
      <c r="K154" s="59">
        <f>+K147-K150</f>
        <v>-6094.6600000000008</v>
      </c>
      <c r="L154" s="59">
        <f>+L147-L150</f>
        <v>-6704.1260000000011</v>
      </c>
      <c r="M154" s="59">
        <f>+M147-M150</f>
        <v>-7374.5386000000017</v>
      </c>
      <c r="N154" s="59">
        <f>+N147-N150</f>
        <v>-8111.9924600000031</v>
      </c>
    </row>
    <row r="155" spans="1:14" x14ac:dyDescent="0.25">
      <c r="A155" s="46" t="s">
        <v>129</v>
      </c>
      <c r="B155" s="47" t="str">
        <f t="shared" ref="B155:N155" si="116">+IFERROR(B154/A154-1,"nm")</f>
        <v>nm</v>
      </c>
      <c r="C155" s="47">
        <f t="shared" si="116"/>
        <v>0.145125716806352</v>
      </c>
      <c r="D155" s="47">
        <f t="shared" si="116"/>
        <v>3.1201848998459125E-2</v>
      </c>
      <c r="E155" s="47">
        <f t="shared" si="116"/>
        <v>-7.097497198356395E-3</v>
      </c>
      <c r="F155" s="47">
        <f t="shared" si="116"/>
        <v>0.22723852520692245</v>
      </c>
      <c r="G155" s="47">
        <f t="shared" si="116"/>
        <v>6.3151440833844275E-2</v>
      </c>
      <c r="H155" s="47">
        <f t="shared" si="116"/>
        <v>5.4209919261822392E-2</v>
      </c>
      <c r="I155" s="47">
        <f t="shared" si="116"/>
        <v>0.16575492341356668</v>
      </c>
      <c r="J155" s="65">
        <f t="shared" si="116"/>
        <v>0.29999999999999982</v>
      </c>
      <c r="K155" s="65">
        <f t="shared" si="116"/>
        <v>0.10000000000000031</v>
      </c>
      <c r="L155" s="65">
        <f t="shared" si="116"/>
        <v>0.10000000000000009</v>
      </c>
      <c r="M155" s="65">
        <f t="shared" si="116"/>
        <v>0.10000000000000009</v>
      </c>
      <c r="N155" s="65">
        <f t="shared" si="116"/>
        <v>0.10000000000000009</v>
      </c>
    </row>
    <row r="156" spans="1:14" x14ac:dyDescent="0.25">
      <c r="A156" s="46" t="s">
        <v>131</v>
      </c>
      <c r="B156" s="47">
        <f t="shared" ref="B156:I156" si="117">+IFERROR(B154/B$145,"nm")</f>
        <v>-19.713043478260868</v>
      </c>
      <c r="C156" s="47">
        <f t="shared" si="117"/>
        <v>-35.561643835616437</v>
      </c>
      <c r="D156" s="47">
        <f t="shared" si="117"/>
        <v>-36.671232876712331</v>
      </c>
      <c r="E156" s="47">
        <f t="shared" si="117"/>
        <v>-30.204545454545453</v>
      </c>
      <c r="F156" s="47">
        <f t="shared" si="117"/>
        <v>-77.666666666666671</v>
      </c>
      <c r="G156" s="47">
        <f t="shared" si="117"/>
        <v>-115.6</v>
      </c>
      <c r="H156" s="47">
        <f t="shared" si="117"/>
        <v>-146.24</v>
      </c>
      <c r="I156" s="47">
        <f t="shared" si="117"/>
        <v>-41.784313725490193</v>
      </c>
      <c r="J156" s="65">
        <f>+IFERROR(J154/J$21,"nm")</f>
        <v>-0.28976457347508289</v>
      </c>
      <c r="K156" s="65">
        <f>+IFERROR(K154/K$21,"nm")</f>
        <v>-0.30566320649653855</v>
      </c>
      <c r="L156" s="65">
        <f>+IFERROR(L154/L$21,"nm")</f>
        <v>-0.32210676146956096</v>
      </c>
      <c r="M156" s="65">
        <f>+IFERROR(M154/M$21,"nm")</f>
        <v>-0.33904567084275211</v>
      </c>
      <c r="N156" s="65">
        <f>+IFERROR(N154/N$21,"nm")</f>
        <v>-0.35641367538267271</v>
      </c>
    </row>
    <row r="157" spans="1:14" x14ac:dyDescent="0.25">
      <c r="A157" s="9" t="s">
        <v>135</v>
      </c>
      <c r="B157" s="9">
        <f>+Historicals!B164</f>
        <v>225</v>
      </c>
      <c r="C157" s="9">
        <f>+Historicals!C164</f>
        <v>258</v>
      </c>
      <c r="D157" s="9">
        <f>+Historicals!D164</f>
        <v>278</v>
      </c>
      <c r="E157" s="9">
        <f>+Historicals!E164</f>
        <v>286</v>
      </c>
      <c r="F157" s="9">
        <f>+Historicals!F164</f>
        <v>278</v>
      </c>
      <c r="G157" s="9">
        <f>+Historicals!G164</f>
        <v>438</v>
      </c>
      <c r="H157" s="9">
        <f>+Historicals!H164</f>
        <v>278</v>
      </c>
      <c r="I157" s="9">
        <f>+Historicals!I164</f>
        <v>222</v>
      </c>
      <c r="J157" s="59">
        <f>+J145*J159</f>
        <v>288.59999999999997</v>
      </c>
      <c r="K157" s="59">
        <f>+K145*K159</f>
        <v>317.45999999999998</v>
      </c>
      <c r="L157" s="59">
        <f>+L145*L159</f>
        <v>349.20600000000002</v>
      </c>
      <c r="M157" s="59">
        <f>+M145*M159</f>
        <v>384.12660000000011</v>
      </c>
      <c r="N157" s="59">
        <f>+N145*N159</f>
        <v>422.53926000000013</v>
      </c>
    </row>
    <row r="158" spans="1:14" x14ac:dyDescent="0.25">
      <c r="A158" s="46" t="s">
        <v>129</v>
      </c>
      <c r="B158" s="47" t="str">
        <f t="shared" ref="B158:I158" si="118">+IFERROR(B157/A157-1,"nm")</f>
        <v>nm</v>
      </c>
      <c r="C158" s="47">
        <f t="shared" si="118"/>
        <v>0.14666666666666672</v>
      </c>
      <c r="D158" s="47">
        <f t="shared" si="118"/>
        <v>7.7519379844961156E-2</v>
      </c>
      <c r="E158" s="47">
        <f t="shared" si="118"/>
        <v>2.877697841726623E-2</v>
      </c>
      <c r="F158" s="47">
        <f t="shared" si="118"/>
        <v>-2.7972027972028024E-2</v>
      </c>
      <c r="G158" s="47">
        <f t="shared" si="118"/>
        <v>0.57553956834532372</v>
      </c>
      <c r="H158" s="47">
        <f t="shared" si="118"/>
        <v>-0.36529680365296802</v>
      </c>
      <c r="I158" s="47">
        <f t="shared" si="118"/>
        <v>-0.20143884892086328</v>
      </c>
      <c r="J158" s="65">
        <v>0</v>
      </c>
      <c r="K158" s="65">
        <f>+IFERROR(K157/J157-1,"nm")</f>
        <v>0.10000000000000009</v>
      </c>
      <c r="L158" s="65">
        <f>+IFERROR(L157/K157-1,"nm")</f>
        <v>0.10000000000000009</v>
      </c>
      <c r="M158" s="65">
        <f>+IFERROR(M157/L157-1,"nm")</f>
        <v>0.10000000000000031</v>
      </c>
      <c r="N158" s="65">
        <f>+IFERROR(N157/M157-1,"nm")</f>
        <v>0.10000000000000009</v>
      </c>
    </row>
    <row r="159" spans="1:14" x14ac:dyDescent="0.25">
      <c r="A159" s="46" t="s">
        <v>133</v>
      </c>
      <c r="B159" s="47">
        <f t="shared" ref="B159:I159" si="119">+IFERROR(B157/B$145,"nm")</f>
        <v>1.9565217391304348</v>
      </c>
      <c r="C159" s="47">
        <f t="shared" si="119"/>
        <v>3.5342465753424657</v>
      </c>
      <c r="D159" s="47">
        <f t="shared" si="119"/>
        <v>3.8082191780821919</v>
      </c>
      <c r="E159" s="47">
        <f t="shared" si="119"/>
        <v>3.25</v>
      </c>
      <c r="F159" s="47">
        <f t="shared" si="119"/>
        <v>6.6190476190476186</v>
      </c>
      <c r="G159" s="47">
        <f t="shared" si="119"/>
        <v>14.6</v>
      </c>
      <c r="H159" s="47">
        <f t="shared" si="119"/>
        <v>11.12</v>
      </c>
      <c r="I159" s="47">
        <f t="shared" si="119"/>
        <v>2.1764705882352939</v>
      </c>
      <c r="J159" s="65">
        <f>+I159</f>
        <v>2.1764705882352939</v>
      </c>
      <c r="K159" s="65">
        <f>+J159</f>
        <v>2.1764705882352939</v>
      </c>
      <c r="L159" s="65">
        <f>+K159</f>
        <v>2.1764705882352939</v>
      </c>
      <c r="M159" s="65">
        <f>+L159</f>
        <v>2.1764705882352939</v>
      </c>
      <c r="N159" s="65">
        <f>+M159</f>
        <v>2.1764705882352939</v>
      </c>
    </row>
    <row r="160" spans="1:14" x14ac:dyDescent="0.25">
      <c r="A160" s="9" t="s">
        <v>141</v>
      </c>
      <c r="B160" s="9">
        <f>+Historicals!B153</f>
        <v>484</v>
      </c>
      <c r="C160" s="9">
        <f>+Historicals!C153</f>
        <v>511</v>
      </c>
      <c r="D160" s="9">
        <f>+Historicals!D153</f>
        <v>533</v>
      </c>
      <c r="E160" s="9">
        <f>+Historicals!E153</f>
        <v>597</v>
      </c>
      <c r="F160" s="9">
        <f>+Historicals!F153</f>
        <v>665</v>
      </c>
      <c r="G160" s="9">
        <f>+Historicals!G153</f>
        <v>830</v>
      </c>
      <c r="H160" s="70">
        <f>+Historicals!H153</f>
        <v>780</v>
      </c>
      <c r="I160" s="70">
        <f>+Historicals!I153</f>
        <v>789</v>
      </c>
      <c r="J160" s="59">
        <f>+J145*J162</f>
        <v>1025.7</v>
      </c>
      <c r="K160" s="59">
        <f>+K145*K162</f>
        <v>1128.2700000000002</v>
      </c>
      <c r="L160" s="59">
        <f>+L145*L162</f>
        <v>1241.0970000000002</v>
      </c>
      <c r="M160" s="59">
        <f>+M145*M162</f>
        <v>1365.2067000000004</v>
      </c>
      <c r="N160" s="59">
        <f>+N145*N162</f>
        <v>1501.7273700000005</v>
      </c>
    </row>
    <row r="161" spans="1:14" x14ac:dyDescent="0.25">
      <c r="A161" s="46" t="s">
        <v>129</v>
      </c>
      <c r="B161" s="47" t="str">
        <f t="shared" ref="B161:I161" si="120">+IFERROR(B160/A160-1,"nm")</f>
        <v>nm</v>
      </c>
      <c r="C161" s="47">
        <f t="shared" si="120"/>
        <v>5.5785123966942241E-2</v>
      </c>
      <c r="D161" s="47">
        <f t="shared" si="120"/>
        <v>4.3052837573385627E-2</v>
      </c>
      <c r="E161" s="47">
        <f t="shared" si="120"/>
        <v>0.12007504690431525</v>
      </c>
      <c r="F161" s="47">
        <f t="shared" si="120"/>
        <v>0.11390284757118918</v>
      </c>
      <c r="G161" s="47">
        <f t="shared" si="120"/>
        <v>0.24812030075187974</v>
      </c>
      <c r="H161" s="66">
        <f t="shared" si="120"/>
        <v>-6.0240963855421659E-2</v>
      </c>
      <c r="I161" s="66">
        <f t="shared" si="120"/>
        <v>1.1538461538461497E-2</v>
      </c>
      <c r="J161" s="65">
        <f>+J162+J163</f>
        <v>7.7352941176470589</v>
      </c>
      <c r="K161" s="65">
        <f>+K162+K163</f>
        <v>7.7352941176470589</v>
      </c>
      <c r="L161" s="65">
        <f>+L162+L163</f>
        <v>7.7352941176470589</v>
      </c>
      <c r="M161" s="65">
        <f>+M162+M163</f>
        <v>7.7352941176470589</v>
      </c>
      <c r="N161" s="65">
        <f>+N162+N163</f>
        <v>7.7352941176470589</v>
      </c>
    </row>
    <row r="162" spans="1:14" x14ac:dyDescent="0.25">
      <c r="A162" s="46" t="s">
        <v>133</v>
      </c>
      <c r="B162" s="47">
        <f t="shared" ref="B162:I162" si="121">+IFERROR(B160/B$145,"nm")</f>
        <v>4.2086956521739127</v>
      </c>
      <c r="C162" s="47">
        <f t="shared" si="121"/>
        <v>7</v>
      </c>
      <c r="D162" s="47">
        <f t="shared" si="121"/>
        <v>7.3013698630136989</v>
      </c>
      <c r="E162" s="47">
        <f t="shared" si="121"/>
        <v>6.7840909090909092</v>
      </c>
      <c r="F162" s="47">
        <f t="shared" si="121"/>
        <v>15.833333333333334</v>
      </c>
      <c r="G162" s="47">
        <f t="shared" si="121"/>
        <v>27.666666666666668</v>
      </c>
      <c r="H162" s="66">
        <f t="shared" si="121"/>
        <v>31.2</v>
      </c>
      <c r="I162" s="66">
        <f t="shared" si="121"/>
        <v>7.7352941176470589</v>
      </c>
      <c r="J162" s="65">
        <f>+I162</f>
        <v>7.7352941176470589</v>
      </c>
      <c r="K162" s="65">
        <f>+J162</f>
        <v>7.7352941176470589</v>
      </c>
      <c r="L162" s="65">
        <f>+K162</f>
        <v>7.7352941176470589</v>
      </c>
      <c r="M162" s="65">
        <f>+L162</f>
        <v>7.7352941176470589</v>
      </c>
      <c r="N162" s="65">
        <f>+M162</f>
        <v>7.7352941176470589</v>
      </c>
    </row>
    <row r="163" spans="1:14" x14ac:dyDescent="0.25">
      <c r="A163" s="72" t="s">
        <v>104</v>
      </c>
    </row>
    <row r="164" spans="1:14" x14ac:dyDescent="0.25">
      <c r="A164" s="9" t="s">
        <v>136</v>
      </c>
      <c r="B164" s="9">
        <f>B166+B170+B174+B178</f>
        <v>28743</v>
      </c>
      <c r="C164" s="9">
        <f>C166+C170+C174+C178</f>
        <v>30434</v>
      </c>
      <c r="D164" s="9">
        <f>D166+D170+D174+D178</f>
        <v>32160</v>
      </c>
      <c r="E164" s="9">
        <f>E166+E170+E174+E178</f>
        <v>34500</v>
      </c>
      <c r="F164" s="9">
        <f>F166+F170+F174+F178</f>
        <v>37282</v>
      </c>
      <c r="G164" s="9">
        <f>G166+G170+G174+G178+G182</f>
        <v>35950</v>
      </c>
      <c r="H164" s="9">
        <f>H166+H170+H174+H178</f>
        <v>2205</v>
      </c>
      <c r="I164" s="9">
        <f>I166+I170+I174+I178</f>
        <v>2346</v>
      </c>
      <c r="J164" s="59">
        <f>+SUM(J166+J170+J174+J178)</f>
        <v>2623.65</v>
      </c>
      <c r="K164" s="59">
        <f>+SUM(K166+K170+K174+K178)</f>
        <v>2886.0150000000003</v>
      </c>
      <c r="L164" s="59">
        <f>+SUM(L166+L170+L174+L178)</f>
        <v>3174.6165000000005</v>
      </c>
      <c r="M164" s="59">
        <f>+SUM(M166+M170+M174+M178)</f>
        <v>3492.0781500000012</v>
      </c>
      <c r="N164" s="59">
        <f>+SUM(N166+N170+N174+N178)</f>
        <v>3841.2859650000009</v>
      </c>
    </row>
    <row r="165" spans="1:14" x14ac:dyDescent="0.25">
      <c r="A165" s="44" t="s">
        <v>129</v>
      </c>
      <c r="B165" s="47" t="str">
        <f>+IFERROR(B145/A145-1,"nm")</f>
        <v>nm</v>
      </c>
      <c r="C165" s="47">
        <f t="shared" ref="C165:N165" si="122">+IFERROR(C164/B164-1,"nm")</f>
        <v>5.883171554813349E-2</v>
      </c>
      <c r="D165" s="47">
        <f t="shared" si="122"/>
        <v>5.6712886902806181E-2</v>
      </c>
      <c r="E165" s="47">
        <f t="shared" si="122"/>
        <v>7.2761194029850706E-2</v>
      </c>
      <c r="F165" s="47">
        <f t="shared" si="122"/>
        <v>8.0637681159420271E-2</v>
      </c>
      <c r="G165" s="47">
        <f t="shared" si="122"/>
        <v>-3.5727697011962878E-2</v>
      </c>
      <c r="H165" s="47">
        <f t="shared" si="122"/>
        <v>-0.93866481223922116</v>
      </c>
      <c r="I165" s="47">
        <f t="shared" si="122"/>
        <v>6.3945578231292544E-2</v>
      </c>
      <c r="J165" s="65">
        <f t="shared" si="122"/>
        <v>0.11835038363171368</v>
      </c>
      <c r="K165" s="65">
        <f t="shared" si="122"/>
        <v>0.10000000000000009</v>
      </c>
      <c r="L165" s="65">
        <f t="shared" si="122"/>
        <v>0.10000000000000009</v>
      </c>
      <c r="M165" s="65">
        <f t="shared" si="122"/>
        <v>0.10000000000000009</v>
      </c>
      <c r="N165" s="65">
        <f t="shared" si="122"/>
        <v>9.9999999999999867E-2</v>
      </c>
    </row>
    <row r="166" spans="1:14" x14ac:dyDescent="0.25">
      <c r="A166" s="45" t="s">
        <v>113</v>
      </c>
      <c r="B166" s="3">
        <f>+Historicals!B130</f>
        <v>18318</v>
      </c>
      <c r="C166" s="3">
        <f>+Historicals!C130</f>
        <v>19871</v>
      </c>
      <c r="D166" s="3">
        <f>+Historicals!D130</f>
        <v>21081</v>
      </c>
      <c r="E166" s="3">
        <f>+Historicals!E130</f>
        <v>22268</v>
      </c>
      <c r="F166" s="3">
        <f>+Historicals!F130</f>
        <v>24222</v>
      </c>
      <c r="G166" s="3">
        <f>+Historicals!G130</f>
        <v>23305</v>
      </c>
      <c r="H166" s="3">
        <f>+Historicals!H130</f>
        <v>1986</v>
      </c>
      <c r="I166" s="3">
        <f>+Historicals!I130</f>
        <v>2094</v>
      </c>
      <c r="J166" s="59">
        <f>+I166*(1+J167)</f>
        <v>2303.4</v>
      </c>
      <c r="K166" s="59">
        <f>+J166*(1+K167)</f>
        <v>2533.7400000000002</v>
      </c>
      <c r="L166" s="59">
        <f>+K166*(1+L167)</f>
        <v>2787.1140000000005</v>
      </c>
      <c r="M166" s="59">
        <f>+L166*(1+M167)</f>
        <v>3065.8254000000006</v>
      </c>
      <c r="N166" s="59">
        <f>+M166*(1+N167)</f>
        <v>3372.407940000001</v>
      </c>
    </row>
    <row r="167" spans="1:14" x14ac:dyDescent="0.25">
      <c r="A167" s="44" t="s">
        <v>129</v>
      </c>
      <c r="B167" s="47" t="str">
        <f t="shared" ref="B167:I167" si="123">+IFERROR(B166/A166-1,"nm")</f>
        <v>nm</v>
      </c>
      <c r="C167" s="47">
        <f t="shared" si="123"/>
        <v>8.4779997816355479E-2</v>
      </c>
      <c r="D167" s="47">
        <f t="shared" si="123"/>
        <v>6.0892758290976845E-2</v>
      </c>
      <c r="E167" s="47">
        <f t="shared" si="123"/>
        <v>5.6306626820359584E-2</v>
      </c>
      <c r="F167" s="47">
        <f t="shared" si="123"/>
        <v>8.7749236572660427E-2</v>
      </c>
      <c r="G167" s="47">
        <f t="shared" si="123"/>
        <v>-3.7858145487573269E-2</v>
      </c>
      <c r="H167" s="47">
        <f t="shared" si="123"/>
        <v>-0.91478223557176574</v>
      </c>
      <c r="I167" s="47">
        <f t="shared" si="123"/>
        <v>5.4380664652567967E-2</v>
      </c>
      <c r="J167" s="65">
        <f>+J168+J169</f>
        <v>0.1</v>
      </c>
      <c r="K167" s="65">
        <f>+K168+K169</f>
        <v>0.1</v>
      </c>
      <c r="L167" s="65">
        <f>+L168+L169</f>
        <v>0.1</v>
      </c>
      <c r="M167" s="65">
        <f>+M168+M169</f>
        <v>0.1</v>
      </c>
      <c r="N167" s="65">
        <f>+N168+N169</f>
        <v>0.1</v>
      </c>
    </row>
    <row r="168" spans="1:14" x14ac:dyDescent="0.25">
      <c r="A168" s="44" t="s">
        <v>137</v>
      </c>
      <c r="B168" s="47">
        <f>+Historicals!B307</f>
        <v>0</v>
      </c>
      <c r="C168" s="47">
        <f>+Historicals!C307</f>
        <v>0</v>
      </c>
      <c r="D168" s="47">
        <f>+Historicals!D307</f>
        <v>0</v>
      </c>
      <c r="E168" s="47">
        <f>+Historicals!E307</f>
        <v>0</v>
      </c>
      <c r="F168" s="47">
        <f>+Historicals!F307</f>
        <v>0</v>
      </c>
      <c r="G168" s="47">
        <f>+Historicals!G307</f>
        <v>0</v>
      </c>
      <c r="H168" s="47">
        <f>+Historicals!H307</f>
        <v>0</v>
      </c>
      <c r="I168" s="47">
        <f>+Historicals!I307</f>
        <v>0</v>
      </c>
      <c r="J168" s="65">
        <v>0.1</v>
      </c>
      <c r="K168" s="65">
        <f t="shared" ref="K168:N169" si="124">+J168</f>
        <v>0.1</v>
      </c>
      <c r="L168" s="65">
        <f t="shared" si="124"/>
        <v>0.1</v>
      </c>
      <c r="M168" s="65">
        <f t="shared" si="124"/>
        <v>0.1</v>
      </c>
      <c r="N168" s="65">
        <f t="shared" si="124"/>
        <v>0.1</v>
      </c>
    </row>
    <row r="169" spans="1:14" x14ac:dyDescent="0.25">
      <c r="A169" s="44" t="s">
        <v>138</v>
      </c>
      <c r="B169" s="47" t="str">
        <f t="shared" ref="B169:I169" si="125">+IFERROR(B167-B168,"nm")</f>
        <v>nm</v>
      </c>
      <c r="C169" s="47">
        <f t="shared" si="125"/>
        <v>8.4779997816355479E-2</v>
      </c>
      <c r="D169" s="47">
        <f t="shared" si="125"/>
        <v>6.0892758290976845E-2</v>
      </c>
      <c r="E169" s="47">
        <f t="shared" si="125"/>
        <v>5.6306626820359584E-2</v>
      </c>
      <c r="F169" s="47">
        <f t="shared" si="125"/>
        <v>8.7749236572660427E-2</v>
      </c>
      <c r="G169" s="47">
        <f t="shared" si="125"/>
        <v>-3.7858145487573269E-2</v>
      </c>
      <c r="H169" s="47">
        <f t="shared" si="125"/>
        <v>-0.91478223557176574</v>
      </c>
      <c r="I169" s="47">
        <f t="shared" si="125"/>
        <v>5.4380664652567967E-2</v>
      </c>
      <c r="J169" s="65">
        <v>0</v>
      </c>
      <c r="K169" s="65">
        <f t="shared" si="124"/>
        <v>0</v>
      </c>
      <c r="L169" s="65">
        <f t="shared" si="124"/>
        <v>0</v>
      </c>
      <c r="M169" s="65">
        <f t="shared" si="124"/>
        <v>0</v>
      </c>
      <c r="N169" s="65">
        <f t="shared" si="124"/>
        <v>0</v>
      </c>
    </row>
    <row r="170" spans="1:14" x14ac:dyDescent="0.25">
      <c r="A170" s="45" t="s">
        <v>114</v>
      </c>
      <c r="B170" s="3">
        <f>+Historicals!B131</f>
        <v>8637</v>
      </c>
      <c r="C170" s="3">
        <f>+Historicals!C131</f>
        <v>9067</v>
      </c>
      <c r="D170" s="3">
        <f>+Historicals!D131</f>
        <v>9654</v>
      </c>
      <c r="E170" s="3">
        <f>+Historicals!E131</f>
        <v>10733</v>
      </c>
      <c r="F170" s="3">
        <f>+Historicals!F131</f>
        <v>11550</v>
      </c>
      <c r="G170" s="3">
        <f>+Historicals!G131</f>
        <v>10953</v>
      </c>
      <c r="H170" s="3">
        <f>+Historicals!H131</f>
        <v>104</v>
      </c>
      <c r="I170" s="3">
        <f>+Historicals!I131</f>
        <v>103</v>
      </c>
      <c r="J170" s="59">
        <f>+I170*(1+J171)</f>
        <v>113.30000000000001</v>
      </c>
      <c r="K170" s="59">
        <f>+J170*(1+K171)</f>
        <v>124.63000000000002</v>
      </c>
      <c r="L170" s="59">
        <f>+K170*(1+L171)</f>
        <v>137.09300000000005</v>
      </c>
      <c r="M170" s="59">
        <f>+L170*(1+M171)</f>
        <v>150.80230000000006</v>
      </c>
      <c r="N170" s="59">
        <f>+M170*(1+N171)</f>
        <v>165.88253000000009</v>
      </c>
    </row>
    <row r="171" spans="1:14" x14ac:dyDescent="0.25">
      <c r="A171" s="44" t="s">
        <v>129</v>
      </c>
      <c r="B171" s="47" t="str">
        <f t="shared" ref="B171:I171" si="126">+IFERROR(B170/A170-1,"nm")</f>
        <v>nm</v>
      </c>
      <c r="C171" s="47">
        <f t="shared" si="126"/>
        <v>4.9785805256454818E-2</v>
      </c>
      <c r="D171" s="47">
        <f t="shared" si="126"/>
        <v>6.4740266901952115E-2</v>
      </c>
      <c r="E171" s="47">
        <f t="shared" si="126"/>
        <v>0.1117671431530971</v>
      </c>
      <c r="F171" s="47">
        <f t="shared" si="126"/>
        <v>7.6120376409205326E-2</v>
      </c>
      <c r="G171" s="47">
        <f t="shared" si="126"/>
        <v>-5.1688311688311672E-2</v>
      </c>
      <c r="H171" s="47">
        <f t="shared" si="126"/>
        <v>-0.99050488450652785</v>
      </c>
      <c r="I171" s="47">
        <f t="shared" si="126"/>
        <v>-9.6153846153845812E-3</v>
      </c>
      <c r="J171" s="65">
        <f>+J172+J173</f>
        <v>0.1</v>
      </c>
      <c r="K171" s="65">
        <f>+K172+K173</f>
        <v>0.1</v>
      </c>
      <c r="L171" s="65">
        <f>+L172+L173</f>
        <v>0.1</v>
      </c>
      <c r="M171" s="65">
        <f>+M172+M173</f>
        <v>0.1</v>
      </c>
      <c r="N171" s="65">
        <f>+N172+N173</f>
        <v>0.1</v>
      </c>
    </row>
    <row r="172" spans="1:14" x14ac:dyDescent="0.25">
      <c r="A172" s="44" t="s">
        <v>137</v>
      </c>
      <c r="B172" s="47">
        <f>+Historicals!B311</f>
        <v>0</v>
      </c>
      <c r="C172" s="47">
        <f>+Historicals!C311</f>
        <v>0</v>
      </c>
      <c r="D172" s="47">
        <f>+Historicals!D311</f>
        <v>0</v>
      </c>
      <c r="E172" s="47">
        <f>+Historicals!E311</f>
        <v>0</v>
      </c>
      <c r="F172" s="47">
        <f>+Historicals!F311</f>
        <v>0</v>
      </c>
      <c r="G172" s="47">
        <f>+Historicals!G311</f>
        <v>0</v>
      </c>
      <c r="H172" s="47">
        <f>+Historicals!H311</f>
        <v>0</v>
      </c>
      <c r="I172" s="47">
        <f>+Historicals!I311</f>
        <v>0</v>
      </c>
      <c r="J172" s="65">
        <v>0.1</v>
      </c>
      <c r="K172" s="65">
        <f t="shared" ref="K172:N173" si="127">+J172</f>
        <v>0.1</v>
      </c>
      <c r="L172" s="65">
        <f t="shared" si="127"/>
        <v>0.1</v>
      </c>
      <c r="M172" s="65">
        <f t="shared" si="127"/>
        <v>0.1</v>
      </c>
      <c r="N172" s="65">
        <f t="shared" si="127"/>
        <v>0.1</v>
      </c>
    </row>
    <row r="173" spans="1:14" x14ac:dyDescent="0.25">
      <c r="A173" s="44" t="s">
        <v>138</v>
      </c>
      <c r="B173" s="47" t="str">
        <f t="shared" ref="B173:I173" si="128">+IFERROR(B171-B172,"nm")</f>
        <v>nm</v>
      </c>
      <c r="C173" s="47">
        <f t="shared" si="128"/>
        <v>4.9785805256454818E-2</v>
      </c>
      <c r="D173" s="47">
        <f t="shared" si="128"/>
        <v>6.4740266901952115E-2</v>
      </c>
      <c r="E173" s="47">
        <f t="shared" si="128"/>
        <v>0.1117671431530971</v>
      </c>
      <c r="F173" s="47">
        <f t="shared" si="128"/>
        <v>7.6120376409205326E-2</v>
      </c>
      <c r="G173" s="47">
        <f t="shared" si="128"/>
        <v>-5.1688311688311672E-2</v>
      </c>
      <c r="H173" s="47">
        <f t="shared" si="128"/>
        <v>-0.99050488450652785</v>
      </c>
      <c r="I173" s="47">
        <f t="shared" si="128"/>
        <v>-9.6153846153845812E-3</v>
      </c>
      <c r="J173" s="65">
        <v>0</v>
      </c>
      <c r="K173" s="65">
        <f t="shared" si="127"/>
        <v>0</v>
      </c>
      <c r="L173" s="65">
        <f t="shared" si="127"/>
        <v>0</v>
      </c>
      <c r="M173" s="65">
        <f t="shared" si="127"/>
        <v>0</v>
      </c>
      <c r="N173" s="65">
        <f t="shared" si="127"/>
        <v>0</v>
      </c>
    </row>
    <row r="174" spans="1:14" x14ac:dyDescent="0.25">
      <c r="A174" s="45" t="s">
        <v>115</v>
      </c>
      <c r="B174" s="3">
        <f>+Historicals!B132</f>
        <v>1788</v>
      </c>
      <c r="C174" s="3">
        <f>+Historicals!C132</f>
        <v>1496</v>
      </c>
      <c r="D174" s="3">
        <f>+Historicals!D132</f>
        <v>1425</v>
      </c>
      <c r="E174" s="3">
        <f>+Historicals!E132</f>
        <v>1396</v>
      </c>
      <c r="F174" s="3">
        <f>+Historicals!F132</f>
        <v>1404</v>
      </c>
      <c r="G174" s="3">
        <f>+Historicals!G132</f>
        <v>1280</v>
      </c>
      <c r="H174" s="3">
        <f>+Historicals!H132</f>
        <v>29</v>
      </c>
      <c r="I174" s="3">
        <f>+Historicals!I132</f>
        <v>26</v>
      </c>
      <c r="J174" s="59">
        <f>+I174*(1+J175)</f>
        <v>28.6</v>
      </c>
      <c r="K174" s="59">
        <f>+J174*(1+K175)</f>
        <v>31.460000000000004</v>
      </c>
      <c r="L174" s="59">
        <f>+K174*(1+L175)</f>
        <v>34.606000000000009</v>
      </c>
      <c r="M174" s="59">
        <f>+L174*(1+M175)</f>
        <v>38.066600000000015</v>
      </c>
      <c r="N174" s="59">
        <f>+M174*(1+N175)</f>
        <v>41.873260000000023</v>
      </c>
    </row>
    <row r="175" spans="1:14" x14ac:dyDescent="0.25">
      <c r="A175" s="44" t="s">
        <v>129</v>
      </c>
      <c r="B175" s="47" t="str">
        <f>+IFERROR(B178/A178-1,"nm")</f>
        <v>nm</v>
      </c>
      <c r="C175" s="47">
        <f t="shared" ref="C175:I175" si="129">+IFERROR(C174/B174-1,"nm")</f>
        <v>-0.16331096196868011</v>
      </c>
      <c r="D175" s="47">
        <f t="shared" si="129"/>
        <v>-4.7459893048128365E-2</v>
      </c>
      <c r="E175" s="47">
        <f t="shared" si="129"/>
        <v>-2.0350877192982453E-2</v>
      </c>
      <c r="F175" s="47">
        <f t="shared" si="129"/>
        <v>5.7306590257879542E-3</v>
      </c>
      <c r="G175" s="47">
        <f t="shared" si="129"/>
        <v>-8.8319088319088301E-2</v>
      </c>
      <c r="H175" s="47">
        <f t="shared" si="129"/>
        <v>-0.97734374999999996</v>
      </c>
      <c r="I175" s="47">
        <f t="shared" si="129"/>
        <v>-0.10344827586206895</v>
      </c>
      <c r="J175" s="65">
        <f>+J176+J177</f>
        <v>0.1</v>
      </c>
      <c r="K175" s="65">
        <f>+K176+K177</f>
        <v>0.1</v>
      </c>
      <c r="L175" s="65">
        <f>+L176+L177</f>
        <v>0.1</v>
      </c>
      <c r="M175" s="65">
        <f>+M176+M177</f>
        <v>0.1</v>
      </c>
      <c r="N175" s="65">
        <f>+N176+N177</f>
        <v>0.1</v>
      </c>
    </row>
    <row r="176" spans="1:14" x14ac:dyDescent="0.25">
      <c r="A176" s="44" t="s">
        <v>137</v>
      </c>
      <c r="B176" s="47">
        <f>+Historicals!B309</f>
        <v>0</v>
      </c>
      <c r="C176" s="47">
        <f>+Historicals!C309</f>
        <v>0</v>
      </c>
      <c r="D176" s="47">
        <f>+Historicals!D309</f>
        <v>0</v>
      </c>
      <c r="E176" s="47">
        <f>+Historicals!E309</f>
        <v>0</v>
      </c>
      <c r="F176" s="47">
        <f>+Historicals!F309</f>
        <v>0</v>
      </c>
      <c r="G176" s="47">
        <f>+Historicals!G309</f>
        <v>0</v>
      </c>
      <c r="H176" s="47">
        <f>+Historicals!H309</f>
        <v>0</v>
      </c>
      <c r="I176" s="47">
        <f>+Historicals!I309</f>
        <v>0</v>
      </c>
      <c r="J176" s="65">
        <v>0.1</v>
      </c>
      <c r="K176" s="65">
        <f t="shared" ref="K176:N177" si="130">+J176</f>
        <v>0.1</v>
      </c>
      <c r="L176" s="65">
        <f t="shared" si="130"/>
        <v>0.1</v>
      </c>
      <c r="M176" s="65">
        <f t="shared" si="130"/>
        <v>0.1</v>
      </c>
      <c r="N176" s="65">
        <f t="shared" si="130"/>
        <v>0.1</v>
      </c>
    </row>
    <row r="177" spans="1:14" x14ac:dyDescent="0.25">
      <c r="A177" s="44" t="s">
        <v>138</v>
      </c>
      <c r="B177" s="47" t="str">
        <f t="shared" ref="B177:I177" si="131">+IFERROR(B175-B176,"nm")</f>
        <v>nm</v>
      </c>
      <c r="C177" s="47">
        <f t="shared" si="131"/>
        <v>-0.16331096196868011</v>
      </c>
      <c r="D177" s="47">
        <f t="shared" si="131"/>
        <v>-4.7459893048128365E-2</v>
      </c>
      <c r="E177" s="47">
        <f t="shared" si="131"/>
        <v>-2.0350877192982453E-2</v>
      </c>
      <c r="F177" s="47">
        <f t="shared" si="131"/>
        <v>5.7306590257879542E-3</v>
      </c>
      <c r="G177" s="47">
        <f t="shared" si="131"/>
        <v>-8.8319088319088301E-2</v>
      </c>
      <c r="H177" s="47">
        <f t="shared" si="131"/>
        <v>-0.97734374999999996</v>
      </c>
      <c r="I177" s="47">
        <f t="shared" si="131"/>
        <v>-0.10344827586206895</v>
      </c>
      <c r="J177" s="65">
        <v>0</v>
      </c>
      <c r="K177" s="65">
        <f t="shared" si="130"/>
        <v>0</v>
      </c>
      <c r="L177" s="65">
        <f t="shared" si="130"/>
        <v>0</v>
      </c>
      <c r="M177" s="65">
        <f t="shared" si="130"/>
        <v>0</v>
      </c>
      <c r="N177" s="65">
        <f t="shared" si="130"/>
        <v>0</v>
      </c>
    </row>
    <row r="178" spans="1:14" x14ac:dyDescent="0.25">
      <c r="A178" s="71" t="s">
        <v>121</v>
      </c>
      <c r="B178" s="63">
        <f>+Historicals!B133</f>
        <v>0</v>
      </c>
      <c r="C178" s="63">
        <f>+Historicals!C133</f>
        <v>0</v>
      </c>
      <c r="D178" s="63">
        <f>+Historicals!D133</f>
        <v>0</v>
      </c>
      <c r="E178" s="63">
        <f>+Historicals!E133</f>
        <v>103</v>
      </c>
      <c r="F178" s="63">
        <f>+Historicals!F133</f>
        <v>106</v>
      </c>
      <c r="G178" s="63">
        <f>+Historicals!G133</f>
        <v>90</v>
      </c>
      <c r="H178" s="63">
        <f>+Historicals!H133</f>
        <v>86</v>
      </c>
      <c r="I178" s="63">
        <f>+Historicals!I133</f>
        <v>123</v>
      </c>
      <c r="J178" s="59">
        <f>+I178*(1+J179)</f>
        <v>178.35</v>
      </c>
      <c r="K178" s="59">
        <f>+J178*(1+K179)</f>
        <v>196.185</v>
      </c>
      <c r="L178" s="59">
        <f>+K178*(1+L179)</f>
        <v>215.80350000000001</v>
      </c>
      <c r="M178" s="59">
        <f>+L178*(1+M179)</f>
        <v>237.38385000000002</v>
      </c>
      <c r="N178" s="59">
        <f>+M178*(1+N179)</f>
        <v>261.12223500000005</v>
      </c>
    </row>
    <row r="179" spans="1:14" x14ac:dyDescent="0.25">
      <c r="A179" s="69" t="s">
        <v>201</v>
      </c>
      <c r="B179" s="66" t="s">
        <v>211</v>
      </c>
      <c r="C179" s="66" t="str">
        <f>+IFERROR(C178/B178-1,"nm")</f>
        <v>nm</v>
      </c>
      <c r="D179" s="66" t="str">
        <f>+IFERROR(D178/C178-1,"nm")</f>
        <v>nm</v>
      </c>
      <c r="E179" s="66" t="str">
        <f>+IFERROR(E178/D178-1,"nm")</f>
        <v>nm</v>
      </c>
      <c r="F179" s="66">
        <f>+IFERROR(F178/E178-1,"nm")</f>
        <v>2.9126213592232997E-2</v>
      </c>
      <c r="G179" s="66">
        <f>+IFERROR(G178/F178-1,"nm")</f>
        <v>-0.15094339622641506</v>
      </c>
      <c r="H179" s="66">
        <f>+IFERROR(CG178/G178-1,"nm")</f>
        <v>-1</v>
      </c>
      <c r="I179" s="66">
        <f>+IFERROR(I178/H178-1,"nm")</f>
        <v>0.43023255813953498</v>
      </c>
      <c r="J179" s="65">
        <v>0.45</v>
      </c>
      <c r="K179" s="65">
        <f>+K180+K181</f>
        <v>0.1</v>
      </c>
      <c r="L179" s="65">
        <f>+L180+L181</f>
        <v>0.1</v>
      </c>
      <c r="M179" s="65">
        <f>+M180+M181</f>
        <v>0.1</v>
      </c>
      <c r="N179" s="65">
        <f>+N180+N181</f>
        <v>0.1</v>
      </c>
    </row>
    <row r="180" spans="1:14" x14ac:dyDescent="0.25">
      <c r="A180" s="69" t="s">
        <v>210</v>
      </c>
      <c r="B180" s="66">
        <v>0</v>
      </c>
      <c r="C180" s="66">
        <v>0</v>
      </c>
      <c r="D180" s="66">
        <v>0</v>
      </c>
      <c r="E180" s="66">
        <v>0</v>
      </c>
      <c r="F180" s="66">
        <v>0</v>
      </c>
      <c r="G180" s="66">
        <v>0</v>
      </c>
      <c r="H180" s="66">
        <v>0</v>
      </c>
      <c r="I180" s="66">
        <v>0</v>
      </c>
      <c r="J180" s="65">
        <v>0.1</v>
      </c>
      <c r="K180" s="65">
        <f t="shared" ref="K180:N181" si="132">+J180</f>
        <v>0.1</v>
      </c>
      <c r="L180" s="65">
        <f t="shared" si="132"/>
        <v>0.1</v>
      </c>
      <c r="M180" s="65">
        <f t="shared" si="132"/>
        <v>0.1</v>
      </c>
      <c r="N180" s="65">
        <f t="shared" si="132"/>
        <v>0.1</v>
      </c>
    </row>
    <row r="181" spans="1:14" x14ac:dyDescent="0.25">
      <c r="A181" s="69" t="s">
        <v>209</v>
      </c>
      <c r="B181" s="66" t="str">
        <f t="shared" ref="B181:I181" si="133">+IFERROR(B179-B180,"nm")</f>
        <v>nm</v>
      </c>
      <c r="C181" s="66" t="str">
        <f t="shared" si="133"/>
        <v>nm</v>
      </c>
      <c r="D181" s="66" t="str">
        <f t="shared" si="133"/>
        <v>nm</v>
      </c>
      <c r="E181" s="66" t="str">
        <f t="shared" si="133"/>
        <v>nm</v>
      </c>
      <c r="F181" s="66">
        <f t="shared" si="133"/>
        <v>2.9126213592232997E-2</v>
      </c>
      <c r="G181" s="66">
        <f t="shared" si="133"/>
        <v>-0.15094339622641506</v>
      </c>
      <c r="H181" s="66">
        <f t="shared" si="133"/>
        <v>-1</v>
      </c>
      <c r="I181" s="66">
        <f t="shared" si="133"/>
        <v>0.43023255813953498</v>
      </c>
      <c r="J181" s="65">
        <v>0</v>
      </c>
      <c r="K181" s="65">
        <f t="shared" si="132"/>
        <v>0</v>
      </c>
      <c r="L181" s="65">
        <f t="shared" si="132"/>
        <v>0</v>
      </c>
      <c r="M181" s="65">
        <f t="shared" si="132"/>
        <v>0</v>
      </c>
      <c r="N181" s="65">
        <f t="shared" si="132"/>
        <v>0</v>
      </c>
    </row>
    <row r="182" spans="1:14" x14ac:dyDescent="0.25">
      <c r="A182" s="9" t="s">
        <v>130</v>
      </c>
      <c r="B182" s="48">
        <f t="shared" ref="B182:I182" si="134">+B189+B185</f>
        <v>535</v>
      </c>
      <c r="C182" s="48">
        <f t="shared" si="134"/>
        <v>514</v>
      </c>
      <c r="D182" s="48">
        <f t="shared" si="134"/>
        <v>505</v>
      </c>
      <c r="E182" s="48">
        <f t="shared" si="134"/>
        <v>343</v>
      </c>
      <c r="F182" s="48">
        <f t="shared" si="134"/>
        <v>334</v>
      </c>
      <c r="G182" s="48">
        <f t="shared" si="134"/>
        <v>322</v>
      </c>
      <c r="H182" s="48">
        <f t="shared" si="134"/>
        <v>569</v>
      </c>
      <c r="I182" s="48">
        <f t="shared" si="134"/>
        <v>691</v>
      </c>
      <c r="J182" s="59">
        <f>+J164*J184</f>
        <v>865.80450000000008</v>
      </c>
      <c r="K182" s="59">
        <f>+K164*K184</f>
        <v>952.38495000000012</v>
      </c>
      <c r="L182" s="59">
        <f>+L164*L184</f>
        <v>1047.6234450000002</v>
      </c>
      <c r="M182" s="59">
        <f>+M164*M184</f>
        <v>1152.3857895000006</v>
      </c>
      <c r="N182" s="59">
        <f>+N164*N184</f>
        <v>1267.6243684500005</v>
      </c>
    </row>
    <row r="183" spans="1:14" x14ac:dyDescent="0.25">
      <c r="A183" s="46" t="s">
        <v>129</v>
      </c>
      <c r="B183" s="47" t="str">
        <f t="shared" ref="B183:N183" si="135">+IFERROR(B182/A182-1,"nm")</f>
        <v>nm</v>
      </c>
      <c r="C183" s="47">
        <f t="shared" si="135"/>
        <v>-3.9252336448598157E-2</v>
      </c>
      <c r="D183" s="47">
        <f t="shared" si="135"/>
        <v>-1.7509727626459193E-2</v>
      </c>
      <c r="E183" s="47">
        <f t="shared" si="135"/>
        <v>-0.32079207920792074</v>
      </c>
      <c r="F183" s="47">
        <f t="shared" si="135"/>
        <v>-2.6239067055393583E-2</v>
      </c>
      <c r="G183" s="47">
        <f t="shared" si="135"/>
        <v>-3.59281437125748E-2</v>
      </c>
      <c r="H183" s="47">
        <f t="shared" si="135"/>
        <v>0.76708074534161486</v>
      </c>
      <c r="I183" s="47">
        <f t="shared" si="135"/>
        <v>0.21441124780316345</v>
      </c>
      <c r="J183" s="65">
        <f t="shared" si="135"/>
        <v>0.25297322720694648</v>
      </c>
      <c r="K183" s="65">
        <f t="shared" si="135"/>
        <v>0.10000000000000009</v>
      </c>
      <c r="L183" s="65">
        <f t="shared" si="135"/>
        <v>0.10000000000000009</v>
      </c>
      <c r="M183" s="65">
        <f t="shared" si="135"/>
        <v>0.10000000000000031</v>
      </c>
      <c r="N183" s="65">
        <f t="shared" si="135"/>
        <v>9.9999999999999867E-2</v>
      </c>
    </row>
    <row r="184" spans="1:14" x14ac:dyDescent="0.25">
      <c r="A184" s="46" t="s">
        <v>131</v>
      </c>
      <c r="B184" s="47">
        <f t="shared" ref="B184:I184" si="136">+IFERROR(B182/B$164,"nm")</f>
        <v>1.8613227568451449E-2</v>
      </c>
      <c r="C184" s="47">
        <f t="shared" si="136"/>
        <v>1.6889005717289872E-2</v>
      </c>
      <c r="D184" s="47">
        <f t="shared" si="136"/>
        <v>1.5702736318407962E-2</v>
      </c>
      <c r="E184" s="47">
        <f t="shared" si="136"/>
        <v>9.9420289855072456E-3</v>
      </c>
      <c r="F184" s="47">
        <f t="shared" si="136"/>
        <v>8.9587468483450453E-3</v>
      </c>
      <c r="G184" s="47">
        <f t="shared" si="136"/>
        <v>8.956884561891516E-3</v>
      </c>
      <c r="H184" s="47">
        <f t="shared" si="136"/>
        <v>0.25804988662131517</v>
      </c>
      <c r="I184" s="47">
        <f t="shared" si="136"/>
        <v>0.29454390451832907</v>
      </c>
      <c r="J184" s="65">
        <v>0.33</v>
      </c>
      <c r="K184" s="65">
        <f>+J184</f>
        <v>0.33</v>
      </c>
      <c r="L184" s="65">
        <f>+K184</f>
        <v>0.33</v>
      </c>
      <c r="M184" s="65">
        <f>+L184</f>
        <v>0.33</v>
      </c>
      <c r="N184" s="65">
        <f>+M184</f>
        <v>0.33</v>
      </c>
    </row>
    <row r="185" spans="1:14" x14ac:dyDescent="0.25">
      <c r="A185" s="9" t="s">
        <v>132</v>
      </c>
      <c r="B185" s="9">
        <f>+Historicals!B177</f>
        <v>18</v>
      </c>
      <c r="C185" s="9">
        <f>+Historicals!C177</f>
        <v>27</v>
      </c>
      <c r="D185" s="9">
        <f>+Historicals!D177</f>
        <v>28</v>
      </c>
      <c r="E185" s="9">
        <f>+Historicals!E177</f>
        <v>33</v>
      </c>
      <c r="F185" s="9">
        <f>+Historicals!F177</f>
        <v>31</v>
      </c>
      <c r="G185" s="9">
        <f>+Historicals!G177</f>
        <v>25</v>
      </c>
      <c r="H185" s="9">
        <f>+Historicals!H177</f>
        <v>26</v>
      </c>
      <c r="I185" s="9">
        <f>+Historicals!I177</f>
        <v>22</v>
      </c>
      <c r="J185" s="59">
        <f>+J188*J195</f>
        <v>58.898265306122454</v>
      </c>
      <c r="K185" s="59">
        <f>+K188*K195</f>
        <v>64.788091836734708</v>
      </c>
      <c r="L185" s="59">
        <f>+L188*L195</f>
        <v>71.266901020408184</v>
      </c>
      <c r="M185" s="59">
        <f>+M188*M195</f>
        <v>78.39359112244901</v>
      </c>
      <c r="N185" s="59">
        <f>+N188*N195</f>
        <v>86.232950234693902</v>
      </c>
    </row>
    <row r="186" spans="1:14" x14ac:dyDescent="0.25">
      <c r="A186" s="46" t="s">
        <v>129</v>
      </c>
      <c r="B186" s="47" t="str">
        <f t="shared" ref="B186:N186" si="137">+IFERROR(B185/A185-1,"nm")</f>
        <v>nm</v>
      </c>
      <c r="C186" s="47">
        <f t="shared" si="137"/>
        <v>0.5</v>
      </c>
      <c r="D186" s="47">
        <f t="shared" si="137"/>
        <v>3.7037037037036979E-2</v>
      </c>
      <c r="E186" s="47">
        <f t="shared" si="137"/>
        <v>0.1785714285714286</v>
      </c>
      <c r="F186" s="47">
        <f t="shared" si="137"/>
        <v>-6.0606060606060552E-2</v>
      </c>
      <c r="G186" s="47">
        <f t="shared" si="137"/>
        <v>-0.19354838709677424</v>
      </c>
      <c r="H186" s="47">
        <f t="shared" si="137"/>
        <v>4.0000000000000036E-2</v>
      </c>
      <c r="I186" s="47">
        <f t="shared" si="137"/>
        <v>-0.15384615384615385</v>
      </c>
      <c r="J186" s="65">
        <f t="shared" si="137"/>
        <v>1.6771938775510207</v>
      </c>
      <c r="K186" s="65">
        <f t="shared" si="137"/>
        <v>0.10000000000000009</v>
      </c>
      <c r="L186" s="65">
        <f t="shared" si="137"/>
        <v>0.10000000000000009</v>
      </c>
      <c r="M186" s="65">
        <f t="shared" si="137"/>
        <v>0.10000000000000009</v>
      </c>
      <c r="N186" s="65">
        <f t="shared" si="137"/>
        <v>9.9999999999999867E-2</v>
      </c>
    </row>
    <row r="187" spans="1:14" x14ac:dyDescent="0.25">
      <c r="A187" s="46" t="s">
        <v>133</v>
      </c>
      <c r="B187" s="47">
        <f t="shared" ref="B187:I187" si="138">+IFERROR(B185/B$164,"nm")</f>
        <v>6.262394322095815E-4</v>
      </c>
      <c r="C187" s="47">
        <f t="shared" si="138"/>
        <v>8.8716566997437078E-4</v>
      </c>
      <c r="D187" s="47">
        <f t="shared" si="138"/>
        <v>8.7064676616915426E-4</v>
      </c>
      <c r="E187" s="47">
        <f t="shared" si="138"/>
        <v>9.5652173913043481E-4</v>
      </c>
      <c r="F187" s="47">
        <f t="shared" si="138"/>
        <v>8.31500455984121E-4</v>
      </c>
      <c r="G187" s="47">
        <f t="shared" si="138"/>
        <v>6.9541029207232264E-4</v>
      </c>
      <c r="H187" s="47">
        <f t="shared" si="138"/>
        <v>1.1791383219954649E-2</v>
      </c>
      <c r="I187" s="47">
        <f t="shared" si="138"/>
        <v>9.3776641091219103E-3</v>
      </c>
      <c r="J187" s="65">
        <f>+IFERROR(J185/J$21,"nm")</f>
        <v>3.0802856594684415E-3</v>
      </c>
      <c r="K187" s="65">
        <f>+IFERROR(K185/K$21,"nm")</f>
        <v>3.2492929701752916E-3</v>
      </c>
      <c r="L187" s="65">
        <f>+IFERROR(L185/L$21,"nm")</f>
        <v>3.4240929671750537E-3</v>
      </c>
      <c r="M187" s="65">
        <f>+IFERROR(M185/M$21,"nm")</f>
        <v>3.6041587323013182E-3</v>
      </c>
      <c r="N187" s="65">
        <f>+IFERROR(N185/N$21,"nm")</f>
        <v>3.7887859097243725E-3</v>
      </c>
    </row>
    <row r="188" spans="1:14" x14ac:dyDescent="0.25">
      <c r="A188" s="46" t="s">
        <v>140</v>
      </c>
      <c r="B188" s="47">
        <f t="shared" ref="B188:I188" si="139">+IFERROR(B185/B195,"nm")</f>
        <v>0.14754098360655737</v>
      </c>
      <c r="C188" s="47">
        <f t="shared" si="139"/>
        <v>0.216</v>
      </c>
      <c r="D188" s="47">
        <f t="shared" si="139"/>
        <v>0.224</v>
      </c>
      <c r="E188" s="47">
        <f t="shared" si="139"/>
        <v>0.28695652173913044</v>
      </c>
      <c r="F188" s="47">
        <f t="shared" si="139"/>
        <v>0.31</v>
      </c>
      <c r="G188" s="47">
        <f t="shared" si="139"/>
        <v>0.3125</v>
      </c>
      <c r="H188" s="47">
        <f t="shared" si="139"/>
        <v>0.41269841269841268</v>
      </c>
      <c r="I188" s="47">
        <f t="shared" si="139"/>
        <v>0.44897959183673469</v>
      </c>
      <c r="J188" s="65">
        <f>+I188</f>
        <v>0.44897959183673469</v>
      </c>
      <c r="K188" s="65">
        <f>+J188</f>
        <v>0.44897959183673469</v>
      </c>
      <c r="L188" s="65">
        <f>+K188</f>
        <v>0.44897959183673469</v>
      </c>
      <c r="M188" s="65">
        <f>+L188</f>
        <v>0.44897959183673469</v>
      </c>
      <c r="N188" s="65">
        <f>+M188</f>
        <v>0.44897959183673469</v>
      </c>
    </row>
    <row r="189" spans="1:14" x14ac:dyDescent="0.25">
      <c r="A189" s="9" t="s">
        <v>134</v>
      </c>
      <c r="B189" s="9">
        <f>+Historicals!B144</f>
        <v>517</v>
      </c>
      <c r="C189" s="9">
        <f>+Historicals!C144</f>
        <v>487</v>
      </c>
      <c r="D189" s="9">
        <f>+Historicals!D144</f>
        <v>477</v>
      </c>
      <c r="E189" s="9">
        <f>+Historicals!E144</f>
        <v>310</v>
      </c>
      <c r="F189" s="9">
        <f>+Historicals!F144</f>
        <v>303</v>
      </c>
      <c r="G189" s="9">
        <f>+Historicals!G144</f>
        <v>297</v>
      </c>
      <c r="H189" s="9">
        <f>+Historicals!H144</f>
        <v>543</v>
      </c>
      <c r="I189" s="9">
        <f>+Historicals!I144</f>
        <v>669</v>
      </c>
      <c r="J189" s="59">
        <f>+J182-J185</f>
        <v>806.90623469387765</v>
      </c>
      <c r="K189" s="59">
        <f>+K182-K185</f>
        <v>887.59685816326544</v>
      </c>
      <c r="L189" s="59">
        <f>+L182-L185</f>
        <v>976.35654397959195</v>
      </c>
      <c r="M189" s="59">
        <f>+M182-M185</f>
        <v>1073.9921983775516</v>
      </c>
      <c r="N189" s="59">
        <f>+N182-N185</f>
        <v>1181.3914182153067</v>
      </c>
    </row>
    <row r="190" spans="1:14" x14ac:dyDescent="0.25">
      <c r="A190" s="46" t="s">
        <v>129</v>
      </c>
      <c r="B190" s="47" t="str">
        <f t="shared" ref="B190:N190" si="140">+IFERROR(B189/A189-1,"nm")</f>
        <v>nm</v>
      </c>
      <c r="C190" s="47">
        <f t="shared" si="140"/>
        <v>-5.8027079303675011E-2</v>
      </c>
      <c r="D190" s="47">
        <f t="shared" si="140"/>
        <v>-2.0533880903490731E-2</v>
      </c>
      <c r="E190" s="47">
        <f t="shared" si="140"/>
        <v>-0.35010482180293501</v>
      </c>
      <c r="F190" s="47">
        <f t="shared" si="140"/>
        <v>-2.2580645161290325E-2</v>
      </c>
      <c r="G190" s="47">
        <f t="shared" si="140"/>
        <v>-1.980198019801982E-2</v>
      </c>
      <c r="H190" s="47">
        <f t="shared" si="140"/>
        <v>0.82828282828282829</v>
      </c>
      <c r="I190" s="47">
        <f t="shared" si="140"/>
        <v>0.2320441988950277</v>
      </c>
      <c r="J190" s="65">
        <f t="shared" si="140"/>
        <v>0.20613786949757507</v>
      </c>
      <c r="K190" s="65">
        <f t="shared" si="140"/>
        <v>0.10000000000000009</v>
      </c>
      <c r="L190" s="65">
        <f t="shared" si="140"/>
        <v>9.9999999999999867E-2</v>
      </c>
      <c r="M190" s="65">
        <f t="shared" si="140"/>
        <v>0.10000000000000053</v>
      </c>
      <c r="N190" s="65">
        <f t="shared" si="140"/>
        <v>9.9999999999999867E-2</v>
      </c>
    </row>
    <row r="191" spans="1:14" x14ac:dyDescent="0.25">
      <c r="A191" s="46" t="s">
        <v>131</v>
      </c>
      <c r="B191" s="47">
        <f t="shared" ref="B191:I191" si="141">+IFERROR(B189/B$164,"nm")</f>
        <v>1.7986988136241867E-2</v>
      </c>
      <c r="C191" s="47">
        <f t="shared" si="141"/>
        <v>1.6001840047315502E-2</v>
      </c>
      <c r="D191" s="47">
        <f t="shared" si="141"/>
        <v>1.4832089552238806E-2</v>
      </c>
      <c r="E191" s="47">
        <f t="shared" si="141"/>
        <v>8.9855072463768115E-3</v>
      </c>
      <c r="F191" s="47">
        <f t="shared" si="141"/>
        <v>8.1272463923609244E-3</v>
      </c>
      <c r="G191" s="47">
        <f t="shared" si="141"/>
        <v>8.2614742698191926E-3</v>
      </c>
      <c r="H191" s="47">
        <f t="shared" si="141"/>
        <v>0.24625850340136055</v>
      </c>
      <c r="I191" s="47">
        <f t="shared" si="141"/>
        <v>0.28516624040920718</v>
      </c>
      <c r="J191" s="65">
        <f>+IFERROR(J189/J$21,"nm")</f>
        <v>4.2199913534717651E-2</v>
      </c>
      <c r="K191" s="65">
        <f>+IFERROR(K189/K$21,"nm")</f>
        <v>4.4515313691401492E-2</v>
      </c>
      <c r="L191" s="65">
        <f>+IFERROR(L189/L$21,"nm")</f>
        <v>4.6910073650298229E-2</v>
      </c>
      <c r="M191" s="65">
        <f>+IFERROR(M189/M$21,"nm")</f>
        <v>4.9376974632528069E-2</v>
      </c>
      <c r="N191" s="65">
        <f>+IFERROR(N189/N$21,"nm")</f>
        <v>5.1906366963223913E-2</v>
      </c>
    </row>
    <row r="192" spans="1:14" x14ac:dyDescent="0.25">
      <c r="A192" s="9" t="s">
        <v>135</v>
      </c>
      <c r="B192" s="9">
        <f>+Historicals!B166</f>
        <v>69</v>
      </c>
      <c r="C192" s="9">
        <f>+Historicals!C166</f>
        <v>39</v>
      </c>
      <c r="D192" s="9">
        <f>+Historicals!D166</f>
        <v>30</v>
      </c>
      <c r="E192" s="9">
        <f>+Historicals!E166</f>
        <v>22</v>
      </c>
      <c r="F192" s="9">
        <f>+Historicals!F166</f>
        <v>18</v>
      </c>
      <c r="G192" s="9">
        <f>+Historicals!G166</f>
        <v>12</v>
      </c>
      <c r="H192" s="9">
        <f>+Historicals!H166</f>
        <v>7</v>
      </c>
      <c r="I192" s="9">
        <f>+Historicals!I166</f>
        <v>9</v>
      </c>
      <c r="J192" s="59">
        <f>+J164*J194</f>
        <v>10.065153452685422</v>
      </c>
      <c r="K192" s="59">
        <f>+K164*K194</f>
        <v>11.071668797953965</v>
      </c>
      <c r="L192" s="59">
        <f>+L164*L194</f>
        <v>12.178835677749364</v>
      </c>
      <c r="M192" s="59">
        <f>+M164*M194</f>
        <v>13.396719245524302</v>
      </c>
      <c r="N192" s="59">
        <f>+N164*N194</f>
        <v>14.736391170076731</v>
      </c>
    </row>
    <row r="193" spans="1:14" x14ac:dyDescent="0.25">
      <c r="A193" s="46" t="s">
        <v>129</v>
      </c>
      <c r="B193" s="47" t="str">
        <f t="shared" ref="B193:N193" si="142">+IFERROR(B192/A192-1,"nm")</f>
        <v>nm</v>
      </c>
      <c r="C193" s="47">
        <f t="shared" si="142"/>
        <v>-0.43478260869565222</v>
      </c>
      <c r="D193" s="47">
        <f t="shared" si="142"/>
        <v>-0.23076923076923073</v>
      </c>
      <c r="E193" s="47">
        <f t="shared" si="142"/>
        <v>-0.26666666666666672</v>
      </c>
      <c r="F193" s="47">
        <f t="shared" si="142"/>
        <v>-0.18181818181818177</v>
      </c>
      <c r="G193" s="47">
        <f t="shared" si="142"/>
        <v>-0.33333333333333337</v>
      </c>
      <c r="H193" s="47">
        <f t="shared" si="142"/>
        <v>-0.41666666666666663</v>
      </c>
      <c r="I193" s="47">
        <f t="shared" si="142"/>
        <v>0.28571428571428581</v>
      </c>
      <c r="J193" s="65">
        <f t="shared" si="142"/>
        <v>0.11835038363171346</v>
      </c>
      <c r="K193" s="65">
        <f t="shared" si="142"/>
        <v>0.10000000000000009</v>
      </c>
      <c r="L193" s="65">
        <f t="shared" si="142"/>
        <v>0.10000000000000009</v>
      </c>
      <c r="M193" s="65">
        <f t="shared" si="142"/>
        <v>0.10000000000000009</v>
      </c>
      <c r="N193" s="65">
        <f t="shared" si="142"/>
        <v>9.9999999999999867E-2</v>
      </c>
    </row>
    <row r="194" spans="1:14" x14ac:dyDescent="0.25">
      <c r="A194" s="46" t="s">
        <v>133</v>
      </c>
      <c r="B194" s="47">
        <f t="shared" ref="B194:I194" si="143">+IFERROR(B192/B$164,"nm")</f>
        <v>2.4005844901367288E-3</v>
      </c>
      <c r="C194" s="47">
        <f t="shared" si="143"/>
        <v>1.2814615232963134E-3</v>
      </c>
      <c r="D194" s="47">
        <f t="shared" si="143"/>
        <v>9.3283582089552237E-4</v>
      </c>
      <c r="E194" s="47">
        <f t="shared" si="143"/>
        <v>6.3768115942028987E-4</v>
      </c>
      <c r="F194" s="47">
        <f t="shared" si="143"/>
        <v>4.8280671637787674E-4</v>
      </c>
      <c r="G194" s="47">
        <f t="shared" si="143"/>
        <v>3.3379694019471486E-4</v>
      </c>
      <c r="H194" s="47">
        <f t="shared" si="143"/>
        <v>3.1746031746031746E-3</v>
      </c>
      <c r="I194" s="47">
        <f t="shared" si="143"/>
        <v>3.8363171355498722E-3</v>
      </c>
      <c r="J194" s="65">
        <f>+I194</f>
        <v>3.8363171355498722E-3</v>
      </c>
      <c r="K194" s="65">
        <f>+J194</f>
        <v>3.8363171355498722E-3</v>
      </c>
      <c r="L194" s="65">
        <f>+K194</f>
        <v>3.8363171355498722E-3</v>
      </c>
      <c r="M194" s="65">
        <f>+L194</f>
        <v>3.8363171355498722E-3</v>
      </c>
      <c r="N194" s="65">
        <f>+M194</f>
        <v>3.8363171355498722E-3</v>
      </c>
    </row>
    <row r="195" spans="1:14" x14ac:dyDescent="0.25">
      <c r="A195" s="9" t="s">
        <v>141</v>
      </c>
      <c r="B195" s="9">
        <f>+Historicals!B155</f>
        <v>122</v>
      </c>
      <c r="C195" s="9">
        <f>+Historicals!C155</f>
        <v>125</v>
      </c>
      <c r="D195" s="9">
        <f>+Historicals!D155</f>
        <v>125</v>
      </c>
      <c r="E195" s="9">
        <f>+Historicals!E155</f>
        <v>115</v>
      </c>
      <c r="F195" s="9">
        <f>+Historicals!F155</f>
        <v>100</v>
      </c>
      <c r="G195" s="9">
        <f>+Historicals!G155</f>
        <v>80</v>
      </c>
      <c r="H195" s="70">
        <f>+Historicals!H155</f>
        <v>63</v>
      </c>
      <c r="I195" s="70">
        <f>+Historicals!I155</f>
        <v>49</v>
      </c>
      <c r="J195" s="59">
        <f>+J164*J197</f>
        <v>131.1825</v>
      </c>
      <c r="K195" s="59">
        <f>+K164*K197</f>
        <v>144.30075000000002</v>
      </c>
      <c r="L195" s="59">
        <f>+L164*L197</f>
        <v>158.73082500000004</v>
      </c>
      <c r="M195" s="59">
        <f>+M164*M197</f>
        <v>174.60390750000008</v>
      </c>
      <c r="N195" s="59">
        <f>+N164*N197</f>
        <v>192.06429825000006</v>
      </c>
    </row>
    <row r="196" spans="1:14" x14ac:dyDescent="0.25">
      <c r="A196" s="46" t="s">
        <v>129</v>
      </c>
      <c r="B196" s="47" t="str">
        <f t="shared" ref="B196:I196" si="144">+IFERROR(B195/A195-1,"nm")</f>
        <v>nm</v>
      </c>
      <c r="C196" s="47">
        <f t="shared" si="144"/>
        <v>2.4590163934426146E-2</v>
      </c>
      <c r="D196" s="47">
        <f t="shared" si="144"/>
        <v>0</v>
      </c>
      <c r="E196" s="47">
        <f t="shared" si="144"/>
        <v>-7.999999999999996E-2</v>
      </c>
      <c r="F196" s="47">
        <f t="shared" si="144"/>
        <v>-0.13043478260869568</v>
      </c>
      <c r="G196" s="47">
        <f t="shared" si="144"/>
        <v>-0.19999999999999996</v>
      </c>
      <c r="H196" s="66">
        <f t="shared" si="144"/>
        <v>-0.21250000000000002</v>
      </c>
      <c r="I196" s="66">
        <f t="shared" si="144"/>
        <v>-0.22222222222222221</v>
      </c>
      <c r="J196" s="65">
        <f>+J197+J198</f>
        <v>0.05</v>
      </c>
      <c r="K196" s="65">
        <f>+K197+K198</f>
        <v>0.05</v>
      </c>
      <c r="L196" s="65">
        <f>+L197+L198</f>
        <v>0.05</v>
      </c>
      <c r="M196" s="65">
        <f>+M197+M198</f>
        <v>0.05</v>
      </c>
      <c r="N196" s="65">
        <f>+N197+N198</f>
        <v>0.05</v>
      </c>
    </row>
    <row r="197" spans="1:14" x14ac:dyDescent="0.25">
      <c r="A197" s="46" t="s">
        <v>133</v>
      </c>
      <c r="B197" s="47">
        <f t="shared" ref="B197:I197" si="145">+IFERROR(B195/B$164,"nm")</f>
        <v>4.2445117071982742E-3</v>
      </c>
      <c r="C197" s="47">
        <f t="shared" si="145"/>
        <v>4.107248472103568E-3</v>
      </c>
      <c r="D197" s="47">
        <f t="shared" si="145"/>
        <v>3.88681592039801E-3</v>
      </c>
      <c r="E197" s="47">
        <f t="shared" si="145"/>
        <v>3.3333333333333335E-3</v>
      </c>
      <c r="F197" s="47">
        <f t="shared" si="145"/>
        <v>2.6822595354326485E-3</v>
      </c>
      <c r="G197" s="47">
        <f t="shared" si="145"/>
        <v>2.2253129346314327E-3</v>
      </c>
      <c r="H197" s="66">
        <f t="shared" si="145"/>
        <v>2.8571428571428571E-2</v>
      </c>
      <c r="I197" s="66">
        <f t="shared" si="145"/>
        <v>2.0886615515771527E-2</v>
      </c>
      <c r="J197" s="65">
        <v>0.05</v>
      </c>
      <c r="K197" s="65">
        <f>+J197</f>
        <v>0.05</v>
      </c>
      <c r="L197" s="65">
        <f>+K197</f>
        <v>0.05</v>
      </c>
      <c r="M197" s="65">
        <f>+L197</f>
        <v>0.05</v>
      </c>
      <c r="N197" s="65">
        <f>+M197</f>
        <v>0.05</v>
      </c>
    </row>
    <row r="198" spans="1:14" x14ac:dyDescent="0.25">
      <c r="A198" s="46" t="s">
        <v>208</v>
      </c>
    </row>
    <row r="199" spans="1:14" x14ac:dyDescent="0.25">
      <c r="A199" s="68" t="s">
        <v>207</v>
      </c>
      <c r="B199" s="68">
        <f>+Historicals!B134</f>
        <v>-82</v>
      </c>
      <c r="C199" s="68">
        <f>+Historicals!C134</f>
        <v>-86</v>
      </c>
      <c r="D199" s="68">
        <f>+Historicals!D134</f>
        <v>75</v>
      </c>
      <c r="E199" s="68">
        <f>+Historicals!E134</f>
        <v>26</v>
      </c>
      <c r="F199" s="68">
        <f>+Historicals!F134</f>
        <v>-7</v>
      </c>
      <c r="G199" s="68">
        <f>+Historicals!G134</f>
        <v>-11</v>
      </c>
      <c r="H199" s="68">
        <f>+Historicals!H134</f>
        <v>40</v>
      </c>
      <c r="I199" s="68">
        <f>+Historicals!I134</f>
        <v>-72</v>
      </c>
      <c r="J199" s="59">
        <f>I199*(1+J123)</f>
        <v>-72</v>
      </c>
      <c r="K199" s="59">
        <f>J199*(1+K123)</f>
        <v>-72</v>
      </c>
      <c r="L199" s="59">
        <f>K199*(1+L123)</f>
        <v>-72</v>
      </c>
      <c r="M199" s="59">
        <f>L199*(1+M123)</f>
        <v>-72</v>
      </c>
      <c r="N199" s="59">
        <f>M199*(1+N123)</f>
        <v>-72</v>
      </c>
    </row>
    <row r="200" spans="1:14" x14ac:dyDescent="0.25">
      <c r="A200" s="69" t="s">
        <v>201</v>
      </c>
      <c r="B200" s="66" t="str">
        <f>+IFERROR(B199/A199-1,"nm")</f>
        <v>nm</v>
      </c>
      <c r="C200" s="66">
        <f>+IFERROR(C199/B199-1,"nm")%</f>
        <v>4.8780487804878092E-4</v>
      </c>
      <c r="D200" s="66">
        <f t="shared" ref="D200:N200" si="146">+IFERROR(D199/C199-1,"nm")</f>
        <v>-1.8720930232558139</v>
      </c>
      <c r="E200" s="66">
        <f t="shared" si="146"/>
        <v>-0.65333333333333332</v>
      </c>
      <c r="F200" s="66">
        <f t="shared" si="146"/>
        <v>-1.2692307692307692</v>
      </c>
      <c r="G200" s="66">
        <f t="shared" si="146"/>
        <v>0.5714285714285714</v>
      </c>
      <c r="H200" s="66">
        <f t="shared" si="146"/>
        <v>-4.6363636363636367</v>
      </c>
      <c r="I200" s="66">
        <f t="shared" si="146"/>
        <v>-2.8</v>
      </c>
      <c r="J200" s="65">
        <f t="shared" si="146"/>
        <v>0</v>
      </c>
      <c r="K200" s="65">
        <f t="shared" si="146"/>
        <v>0</v>
      </c>
      <c r="L200" s="65">
        <f t="shared" si="146"/>
        <v>0</v>
      </c>
      <c r="M200" s="65">
        <f t="shared" si="146"/>
        <v>0</v>
      </c>
      <c r="N200" s="65">
        <f t="shared" si="146"/>
        <v>0</v>
      </c>
    </row>
    <row r="201" spans="1:14" x14ac:dyDescent="0.25">
      <c r="A201" s="68" t="s">
        <v>206</v>
      </c>
      <c r="B201" s="68">
        <f t="shared" ref="B201:I201" si="147">B208+B204</f>
        <v>-1022</v>
      </c>
      <c r="C201" s="68">
        <f t="shared" si="147"/>
        <v>-1089</v>
      </c>
      <c r="D201" s="68">
        <f t="shared" si="147"/>
        <v>-640</v>
      </c>
      <c r="E201" s="68">
        <f t="shared" si="147"/>
        <v>-1346</v>
      </c>
      <c r="F201" s="68">
        <f t="shared" si="147"/>
        <v>-1694</v>
      </c>
      <c r="G201" s="68">
        <f t="shared" si="147"/>
        <v>-1855</v>
      </c>
      <c r="H201" s="68">
        <f t="shared" si="147"/>
        <v>-2120</v>
      </c>
      <c r="I201" s="68">
        <f t="shared" si="147"/>
        <v>-2085</v>
      </c>
      <c r="J201" s="59">
        <f>+J199*J203</f>
        <v>-2085</v>
      </c>
      <c r="K201" s="59">
        <f>+K199*K203</f>
        <v>-2085</v>
      </c>
      <c r="L201" s="59">
        <f>+L199*L203</f>
        <v>-2085</v>
      </c>
      <c r="M201" s="59">
        <f>+M199*M203</f>
        <v>-2085</v>
      </c>
      <c r="N201" s="59">
        <f>+N199*N203</f>
        <v>-2085</v>
      </c>
    </row>
    <row r="202" spans="1:14" x14ac:dyDescent="0.25">
      <c r="A202" s="67" t="s">
        <v>201</v>
      </c>
      <c r="B202" s="66" t="str">
        <f>+IFERROR(B201/A201-1,"nm")</f>
        <v>nm</v>
      </c>
      <c r="C202" s="66">
        <f>+IFERROR(B201/C201-1,"nm")</f>
        <v>-6.1524334251606971E-2</v>
      </c>
      <c r="D202" s="66">
        <f t="shared" ref="D202:N202" si="148">+IFERROR(D201/C201-1,"nm")</f>
        <v>-0.41230486685032142</v>
      </c>
      <c r="E202" s="66">
        <f t="shared" si="148"/>
        <v>1.1031249999999999</v>
      </c>
      <c r="F202" s="66">
        <f t="shared" si="148"/>
        <v>0.25854383358098065</v>
      </c>
      <c r="G202" s="66">
        <f t="shared" si="148"/>
        <v>9.5041322314049603E-2</v>
      </c>
      <c r="H202" s="66">
        <f t="shared" si="148"/>
        <v>0.14285714285714279</v>
      </c>
      <c r="I202" s="66">
        <f t="shared" si="148"/>
        <v>-1.650943396226412E-2</v>
      </c>
      <c r="J202" s="65">
        <f t="shared" si="148"/>
        <v>0</v>
      </c>
      <c r="K202" s="65">
        <f t="shared" si="148"/>
        <v>0</v>
      </c>
      <c r="L202" s="65">
        <f t="shared" si="148"/>
        <v>0</v>
      </c>
      <c r="M202" s="65">
        <f t="shared" si="148"/>
        <v>0</v>
      </c>
      <c r="N202" s="65">
        <f t="shared" si="148"/>
        <v>0</v>
      </c>
    </row>
    <row r="203" spans="1:14" x14ac:dyDescent="0.25">
      <c r="A203" s="67" t="s">
        <v>203</v>
      </c>
      <c r="B203" s="66">
        <f t="shared" ref="B203:I203" si="149">+IFERROR(B201/B$199,"nm")</f>
        <v>12.463414634146341</v>
      </c>
      <c r="C203" s="66">
        <f t="shared" si="149"/>
        <v>12.662790697674419</v>
      </c>
      <c r="D203" s="66">
        <f t="shared" si="149"/>
        <v>-8.5333333333333332</v>
      </c>
      <c r="E203" s="66">
        <f t="shared" si="149"/>
        <v>-51.769230769230766</v>
      </c>
      <c r="F203" s="66">
        <f t="shared" si="149"/>
        <v>242</v>
      </c>
      <c r="G203" s="66">
        <f t="shared" si="149"/>
        <v>168.63636363636363</v>
      </c>
      <c r="H203" s="66">
        <f t="shared" si="149"/>
        <v>-53</v>
      </c>
      <c r="I203" s="66">
        <f t="shared" si="149"/>
        <v>28.958333333333332</v>
      </c>
      <c r="J203" s="65">
        <f>+I203</f>
        <v>28.958333333333332</v>
      </c>
      <c r="K203" s="65">
        <f>+J203</f>
        <v>28.958333333333332</v>
      </c>
      <c r="L203" s="65">
        <f>+K203</f>
        <v>28.958333333333332</v>
      </c>
      <c r="M203" s="65">
        <f>+L203</f>
        <v>28.958333333333332</v>
      </c>
      <c r="N203" s="65">
        <f>+M203</f>
        <v>28.958333333333332</v>
      </c>
    </row>
    <row r="204" spans="1:14" x14ac:dyDescent="0.25">
      <c r="A204" s="68" t="s">
        <v>205</v>
      </c>
      <c r="B204" s="68">
        <f>+Historicals!B178</f>
        <v>75</v>
      </c>
      <c r="C204" s="68">
        <f>+Historicals!C178</f>
        <v>84</v>
      </c>
      <c r="D204" s="68">
        <f>+Historicals!C178</f>
        <v>84</v>
      </c>
      <c r="E204" s="68">
        <f>+Historicals!E178</f>
        <v>110</v>
      </c>
      <c r="F204" s="68">
        <f>+Historicals!F178</f>
        <v>116</v>
      </c>
      <c r="G204" s="68">
        <f>+Historicals!G178</f>
        <v>112</v>
      </c>
      <c r="H204" s="68">
        <f>+Historicals!H178</f>
        <v>141</v>
      </c>
      <c r="I204" s="68">
        <f>+Historicals!I178</f>
        <v>134</v>
      </c>
      <c r="J204" s="59">
        <f>+J207*J214</f>
        <v>134</v>
      </c>
      <c r="K204" s="59">
        <f>+K207*K214</f>
        <v>134</v>
      </c>
      <c r="L204" s="59">
        <f>+L207*L214</f>
        <v>134</v>
      </c>
      <c r="M204" s="59">
        <f>+M207*M214</f>
        <v>134</v>
      </c>
      <c r="N204" s="59">
        <f>+N207*N214</f>
        <v>134</v>
      </c>
    </row>
    <row r="205" spans="1:14" x14ac:dyDescent="0.25">
      <c r="A205" s="67" t="s">
        <v>201</v>
      </c>
      <c r="B205" s="66" t="str">
        <f t="shared" ref="B205:N205" si="150">+IFERROR(B204/A204-1,"nm")</f>
        <v>nm</v>
      </c>
      <c r="C205" s="66">
        <f t="shared" si="150"/>
        <v>0.12000000000000011</v>
      </c>
      <c r="D205" s="66">
        <f t="shared" si="150"/>
        <v>0</v>
      </c>
      <c r="E205" s="66">
        <f t="shared" si="150"/>
        <v>0.30952380952380953</v>
      </c>
      <c r="F205" s="66">
        <f t="shared" si="150"/>
        <v>5.4545454545454453E-2</v>
      </c>
      <c r="G205" s="66">
        <f t="shared" si="150"/>
        <v>-3.4482758620689613E-2</v>
      </c>
      <c r="H205" s="66">
        <f t="shared" si="150"/>
        <v>0.2589285714285714</v>
      </c>
      <c r="I205" s="66">
        <f t="shared" si="150"/>
        <v>-4.9645390070921946E-2</v>
      </c>
      <c r="J205" s="65">
        <f t="shared" si="150"/>
        <v>0</v>
      </c>
      <c r="K205" s="65">
        <f t="shared" si="150"/>
        <v>0</v>
      </c>
      <c r="L205" s="65">
        <f t="shared" si="150"/>
        <v>0</v>
      </c>
      <c r="M205" s="65">
        <f t="shared" si="150"/>
        <v>0</v>
      </c>
      <c r="N205" s="65">
        <f t="shared" si="150"/>
        <v>0</v>
      </c>
    </row>
    <row r="206" spans="1:14" x14ac:dyDescent="0.25">
      <c r="A206" s="67" t="s">
        <v>200</v>
      </c>
      <c r="B206" s="66">
        <f t="shared" ref="B206:I206" si="151">+IFERROR(B204/B$199,"nm")</f>
        <v>-0.91463414634146345</v>
      </c>
      <c r="C206" s="66">
        <f t="shared" si="151"/>
        <v>-0.97674418604651159</v>
      </c>
      <c r="D206" s="66">
        <f t="shared" si="151"/>
        <v>1.1200000000000001</v>
      </c>
      <c r="E206" s="66">
        <f t="shared" si="151"/>
        <v>4.2307692307692308</v>
      </c>
      <c r="F206" s="66">
        <f t="shared" si="151"/>
        <v>-16.571428571428573</v>
      </c>
      <c r="G206" s="66">
        <f t="shared" si="151"/>
        <v>-10.181818181818182</v>
      </c>
      <c r="H206" s="66">
        <f t="shared" si="151"/>
        <v>3.5249999999999999</v>
      </c>
      <c r="I206" s="66">
        <f t="shared" si="151"/>
        <v>-1.8611111111111112</v>
      </c>
      <c r="J206" s="65">
        <f>+IFERROR(J204/J$21,"nm")</f>
        <v>7.007987013258693E-3</v>
      </c>
      <c r="K206" s="65">
        <f>+IFERROR(K204/K$21,"nm")</f>
        <v>6.7204519481867996E-3</v>
      </c>
      <c r="L206" s="65">
        <f>+IFERROR(L204/L$21,"nm")</f>
        <v>6.4381704694871722E-3</v>
      </c>
      <c r="M206" s="65">
        <f>+IFERROR(M204/M$21,"nm")</f>
        <v>6.1606728715107376E-3</v>
      </c>
      <c r="N206" s="65">
        <f>+IFERROR(N204/N$21,"nm")</f>
        <v>5.8875094789323963E-3</v>
      </c>
    </row>
    <row r="207" spans="1:14" x14ac:dyDescent="0.25">
      <c r="A207" s="67" t="s">
        <v>140</v>
      </c>
      <c r="B207" s="66">
        <f t="shared" ref="B207:I207" si="152">+IFERROR(B204/B214,"nm")</f>
        <v>0.10518934081346423</v>
      </c>
      <c r="C207" s="66">
        <f t="shared" si="152"/>
        <v>8.9647812166488788E-2</v>
      </c>
      <c r="D207" s="66">
        <f t="shared" si="152"/>
        <v>6.7851373182552507E-2</v>
      </c>
      <c r="E207" s="66">
        <f t="shared" si="152"/>
        <v>7.586206896551724E-2</v>
      </c>
      <c r="F207" s="66">
        <f t="shared" si="152"/>
        <v>6.9336521219366412E-2</v>
      </c>
      <c r="G207" s="66">
        <f t="shared" si="152"/>
        <v>5.845511482254697E-2</v>
      </c>
      <c r="H207" s="66">
        <f t="shared" si="152"/>
        <v>7.5401069518716571E-2</v>
      </c>
      <c r="I207" s="66">
        <f t="shared" si="152"/>
        <v>7.374793615850303E-2</v>
      </c>
      <c r="J207" s="65">
        <f>+I207</f>
        <v>7.374793615850303E-2</v>
      </c>
      <c r="K207" s="65">
        <f>+J207</f>
        <v>7.374793615850303E-2</v>
      </c>
      <c r="L207" s="65">
        <f>+K207</f>
        <v>7.374793615850303E-2</v>
      </c>
      <c r="M207" s="65">
        <f>+L207</f>
        <v>7.374793615850303E-2</v>
      </c>
      <c r="N207" s="65">
        <f>+M207</f>
        <v>7.374793615850303E-2</v>
      </c>
    </row>
    <row r="208" spans="1:14" x14ac:dyDescent="0.25">
      <c r="A208" s="68" t="s">
        <v>204</v>
      </c>
      <c r="B208" s="68">
        <f>+Historicals!B145</f>
        <v>-1097</v>
      </c>
      <c r="C208" s="68">
        <f>+Historicals!C145</f>
        <v>-1173</v>
      </c>
      <c r="D208" s="68">
        <f>+Historicals!D145</f>
        <v>-724</v>
      </c>
      <c r="E208" s="68">
        <f>+Historicals!E145</f>
        <v>-1456</v>
      </c>
      <c r="F208" s="68">
        <f>+Historicals!F145</f>
        <v>-1810</v>
      </c>
      <c r="G208" s="68">
        <f>+Historicals!G145</f>
        <v>-1967</v>
      </c>
      <c r="H208" s="68">
        <f>+Historicals!H145</f>
        <v>-2261</v>
      </c>
      <c r="I208" s="68">
        <f>+Historicals!I145</f>
        <v>-2219</v>
      </c>
      <c r="J208" s="59">
        <f>+J201+J204</f>
        <v>-1951</v>
      </c>
      <c r="K208" s="59">
        <f>+K201+K204</f>
        <v>-1951</v>
      </c>
      <c r="L208" s="59">
        <f>+L201+L204</f>
        <v>-1951</v>
      </c>
      <c r="M208" s="59">
        <f>+M201+M204</f>
        <v>-1951</v>
      </c>
      <c r="N208" s="59">
        <f>+N201+N204</f>
        <v>-1951</v>
      </c>
    </row>
    <row r="209" spans="1:14" x14ac:dyDescent="0.25">
      <c r="A209" s="67" t="s">
        <v>201</v>
      </c>
      <c r="B209" s="66" t="str">
        <f t="shared" ref="B209:N209" si="153">+IFERROR(B208/A208-1,"nm")</f>
        <v>nm</v>
      </c>
      <c r="C209" s="66">
        <f t="shared" si="153"/>
        <v>6.9279854147675568E-2</v>
      </c>
      <c r="D209" s="66">
        <f t="shared" si="153"/>
        <v>-0.38277919863597609</v>
      </c>
      <c r="E209" s="66">
        <f t="shared" si="153"/>
        <v>1.0110497237569063</v>
      </c>
      <c r="F209" s="66">
        <f t="shared" si="153"/>
        <v>0.24313186813186816</v>
      </c>
      <c r="G209" s="66">
        <f t="shared" si="153"/>
        <v>8.6740331491712785E-2</v>
      </c>
      <c r="H209" s="66">
        <f t="shared" si="153"/>
        <v>0.14946619217081847</v>
      </c>
      <c r="I209" s="66">
        <f t="shared" si="153"/>
        <v>-1.8575851393188847E-2</v>
      </c>
      <c r="J209" s="65">
        <f t="shared" si="153"/>
        <v>-0.12077512392969803</v>
      </c>
      <c r="K209" s="65">
        <f t="shared" si="153"/>
        <v>0</v>
      </c>
      <c r="L209" s="65">
        <f t="shared" si="153"/>
        <v>0</v>
      </c>
      <c r="M209" s="65">
        <f t="shared" si="153"/>
        <v>0</v>
      </c>
      <c r="N209" s="65">
        <f t="shared" si="153"/>
        <v>0</v>
      </c>
    </row>
    <row r="210" spans="1:14" x14ac:dyDescent="0.25">
      <c r="A210" s="67" t="s">
        <v>203</v>
      </c>
      <c r="B210" s="66">
        <f t="shared" ref="B210:I210" si="154">+IFERROR(B208/B$199,"nm")</f>
        <v>13.378048780487806</v>
      </c>
      <c r="C210" s="66">
        <f t="shared" si="154"/>
        <v>13.63953488372093</v>
      </c>
      <c r="D210" s="66">
        <f t="shared" si="154"/>
        <v>-9.6533333333333342</v>
      </c>
      <c r="E210" s="66">
        <f t="shared" si="154"/>
        <v>-56</v>
      </c>
      <c r="F210" s="66">
        <f t="shared" si="154"/>
        <v>258.57142857142856</v>
      </c>
      <c r="G210" s="66">
        <f t="shared" si="154"/>
        <v>178.81818181818181</v>
      </c>
      <c r="H210" s="66">
        <f t="shared" si="154"/>
        <v>-56.524999999999999</v>
      </c>
      <c r="I210" s="66">
        <f t="shared" si="154"/>
        <v>30.819444444444443</v>
      </c>
      <c r="J210" s="65">
        <f>+IFERROR(J208/J$21,"nm")</f>
        <v>-0.1020341989766247</v>
      </c>
      <c r="K210" s="65">
        <f>+IFERROR(K208/K$21,"nm")</f>
        <v>-9.7847774260540643E-2</v>
      </c>
      <c r="L210" s="65">
        <f>+IFERROR(L208/L$21,"nm")</f>
        <v>-9.3737840193802047E-2</v>
      </c>
      <c r="M210" s="65">
        <f>+IFERROR(M208/M$21,"nm")</f>
        <v>-8.9697558002369018E-2</v>
      </c>
      <c r="N210" s="65">
        <f>+IFERROR(N208/N$21,"nm")</f>
        <v>-8.5720380547739589E-2</v>
      </c>
    </row>
    <row r="211" spans="1:14" x14ac:dyDescent="0.25">
      <c r="A211" s="68" t="s">
        <v>202</v>
      </c>
      <c r="B211" s="68">
        <f>+Historicals!B167</f>
        <v>104</v>
      </c>
      <c r="C211" s="68">
        <f>+Historicals!C167</f>
        <v>264</v>
      </c>
      <c r="D211" s="68">
        <f>+Historicals!D167</f>
        <v>291</v>
      </c>
      <c r="E211" s="68">
        <f>+Historicals!E167</f>
        <v>159</v>
      </c>
      <c r="F211" s="68">
        <f>+Historicals!F167</f>
        <v>377</v>
      </c>
      <c r="G211" s="68">
        <f>+Historicals!G167</f>
        <v>318</v>
      </c>
      <c r="H211" s="68">
        <f>+Historicals!H167</f>
        <v>11</v>
      </c>
      <c r="I211" s="68">
        <f>+Historicals!I167</f>
        <v>50</v>
      </c>
      <c r="J211" s="59">
        <f>+J199*J213</f>
        <v>50</v>
      </c>
      <c r="K211" s="59">
        <f>+K199*K213</f>
        <v>50</v>
      </c>
      <c r="L211" s="59">
        <f>+L199*L213</f>
        <v>50</v>
      </c>
      <c r="M211" s="59">
        <f>+M199*M213</f>
        <v>50</v>
      </c>
      <c r="N211" s="59">
        <f>+N199*N213</f>
        <v>50</v>
      </c>
    </row>
    <row r="212" spans="1:14" x14ac:dyDescent="0.25">
      <c r="A212" s="67" t="s">
        <v>201</v>
      </c>
      <c r="B212" s="66" t="str">
        <f t="shared" ref="B212:I212" si="155">+IFERROR(B211/A211-1,"nm")</f>
        <v>nm</v>
      </c>
      <c r="C212" s="66">
        <f t="shared" si="155"/>
        <v>1.5384615384615383</v>
      </c>
      <c r="D212" s="66">
        <f t="shared" si="155"/>
        <v>0.10227272727272729</v>
      </c>
      <c r="E212" s="66">
        <f t="shared" si="155"/>
        <v>-0.45360824742268047</v>
      </c>
      <c r="F212" s="66">
        <f t="shared" si="155"/>
        <v>1.3710691823899372</v>
      </c>
      <c r="G212" s="66">
        <f t="shared" si="155"/>
        <v>-0.156498673740053</v>
      </c>
      <c r="H212" s="66">
        <f t="shared" si="155"/>
        <v>-0.96540880503144655</v>
      </c>
      <c r="I212" s="66">
        <f t="shared" si="155"/>
        <v>3.5454545454545459</v>
      </c>
      <c r="J212" s="65">
        <v>0</v>
      </c>
      <c r="K212" s="65">
        <f>+IFERROR(K211/J211-1,"nm")</f>
        <v>0</v>
      </c>
      <c r="L212" s="65">
        <f>+IFERROR(L211/K211-1,"nm")</f>
        <v>0</v>
      </c>
      <c r="M212" s="65">
        <f>+IFERROR(M211/L211-1,"nm")</f>
        <v>0</v>
      </c>
      <c r="N212" s="65">
        <f>+IFERROR(N211/M211-1,"nm")</f>
        <v>0</v>
      </c>
    </row>
    <row r="213" spans="1:14" x14ac:dyDescent="0.25">
      <c r="A213" s="67" t="s">
        <v>200</v>
      </c>
      <c r="B213" s="66">
        <f t="shared" ref="B213:I213" si="156">+IFERROR(B211/B$199,"nm")</f>
        <v>-1.2682926829268293</v>
      </c>
      <c r="C213" s="66">
        <f t="shared" si="156"/>
        <v>-3.0697674418604652</v>
      </c>
      <c r="D213" s="66">
        <f t="shared" si="156"/>
        <v>3.88</v>
      </c>
      <c r="E213" s="66">
        <f t="shared" si="156"/>
        <v>6.115384615384615</v>
      </c>
      <c r="F213" s="66">
        <f t="shared" si="156"/>
        <v>-53.857142857142854</v>
      </c>
      <c r="G213" s="66">
        <f t="shared" si="156"/>
        <v>-28.90909090909091</v>
      </c>
      <c r="H213" s="66">
        <f t="shared" si="156"/>
        <v>0.27500000000000002</v>
      </c>
      <c r="I213" s="66">
        <f t="shared" si="156"/>
        <v>-0.69444444444444442</v>
      </c>
      <c r="J213" s="65">
        <f>+I213</f>
        <v>-0.69444444444444442</v>
      </c>
      <c r="K213" s="65">
        <f>+J213</f>
        <v>-0.69444444444444442</v>
      </c>
      <c r="L213" s="65">
        <f>+K213</f>
        <v>-0.69444444444444442</v>
      </c>
      <c r="M213" s="65">
        <f>+L213</f>
        <v>-0.69444444444444442</v>
      </c>
      <c r="N213" s="65">
        <f>+M213</f>
        <v>-0.69444444444444442</v>
      </c>
    </row>
    <row r="214" spans="1:14" x14ac:dyDescent="0.25">
      <c r="A214" s="59" t="s">
        <v>141</v>
      </c>
      <c r="B214" s="59">
        <f>+Historicals!B156</f>
        <v>713</v>
      </c>
      <c r="C214" s="59">
        <f>+Historicals!C156</f>
        <v>937</v>
      </c>
      <c r="D214" s="59">
        <f>+Historicals!D156</f>
        <v>1238</v>
      </c>
      <c r="E214" s="59">
        <f>+Historicals!E156</f>
        <v>1450</v>
      </c>
      <c r="F214" s="59">
        <f>+Historicals!F156</f>
        <v>1673</v>
      </c>
      <c r="G214" s="59">
        <f>+Historicals!G156</f>
        <v>1916</v>
      </c>
      <c r="H214">
        <f>+Historicals!H156</f>
        <v>1870</v>
      </c>
      <c r="I214">
        <f>+Historicals!I156</f>
        <v>1817</v>
      </c>
      <c r="J214" s="59">
        <f>+J199*J216</f>
        <v>1817</v>
      </c>
      <c r="K214" s="59">
        <f>+K199*K216</f>
        <v>1817</v>
      </c>
      <c r="L214" s="59">
        <f>+L199*L216</f>
        <v>1817</v>
      </c>
      <c r="M214" s="59">
        <f>+M199*M216</f>
        <v>1817</v>
      </c>
      <c r="N214" s="59">
        <f>+N199*N216</f>
        <v>1817</v>
      </c>
    </row>
    <row r="215" spans="1:14" x14ac:dyDescent="0.25">
      <c r="A215" s="59" t="s">
        <v>129</v>
      </c>
      <c r="B215" s="65" t="str">
        <f t="shared" ref="B215:I215" si="157">+IFERROR(B214/A214-1,"nm")</f>
        <v>nm</v>
      </c>
      <c r="C215" s="65">
        <f t="shared" si="157"/>
        <v>0.31416549789621318</v>
      </c>
      <c r="D215" s="65">
        <f t="shared" si="157"/>
        <v>0.32123799359658478</v>
      </c>
      <c r="E215" s="65">
        <f t="shared" si="157"/>
        <v>0.17124394184168024</v>
      </c>
      <c r="F215" s="65">
        <f t="shared" si="157"/>
        <v>0.15379310344827579</v>
      </c>
      <c r="G215" s="65">
        <f t="shared" si="157"/>
        <v>0.14524805738194857</v>
      </c>
      <c r="H215" s="65">
        <f t="shared" si="157"/>
        <v>-2.4008350730688965E-2</v>
      </c>
      <c r="I215" s="65">
        <f t="shared" si="157"/>
        <v>-2.8342245989304793E-2</v>
      </c>
      <c r="J215" s="65">
        <f>+J216+J217</f>
        <v>-25.236111111111111</v>
      </c>
      <c r="K215" s="65">
        <f>+K216+K217</f>
        <v>-25.236111111111111</v>
      </c>
      <c r="L215" s="65">
        <f>+L216+L217</f>
        <v>-25.236111111111111</v>
      </c>
      <c r="M215" s="65">
        <f>+M216+M217</f>
        <v>-25.236111111111111</v>
      </c>
      <c r="N215" s="65">
        <f>+N216+N217</f>
        <v>-25.236111111111111</v>
      </c>
    </row>
    <row r="216" spans="1:14" x14ac:dyDescent="0.25">
      <c r="A216" s="59" t="s">
        <v>133</v>
      </c>
      <c r="B216" s="65">
        <f t="shared" ref="B216:I216" si="158">+IFERROR(B214/B$199,"nm")</f>
        <v>-8.6951219512195124</v>
      </c>
      <c r="C216" s="65">
        <f t="shared" si="158"/>
        <v>-10.895348837209303</v>
      </c>
      <c r="D216" s="65">
        <f t="shared" si="158"/>
        <v>16.506666666666668</v>
      </c>
      <c r="E216" s="65">
        <f t="shared" si="158"/>
        <v>55.769230769230766</v>
      </c>
      <c r="F216" s="65">
        <f t="shared" si="158"/>
        <v>-239</v>
      </c>
      <c r="G216" s="65">
        <f t="shared" si="158"/>
        <v>-174.18181818181819</v>
      </c>
      <c r="H216" s="65">
        <f t="shared" si="158"/>
        <v>46.75</v>
      </c>
      <c r="I216" s="65">
        <f t="shared" si="158"/>
        <v>-25.236111111111111</v>
      </c>
      <c r="J216" s="65">
        <f>+I216</f>
        <v>-25.236111111111111</v>
      </c>
      <c r="K216" s="65">
        <f>+J216</f>
        <v>-25.236111111111111</v>
      </c>
      <c r="L216" s="65">
        <f>+K216</f>
        <v>-25.236111111111111</v>
      </c>
      <c r="M216" s="65">
        <f>+L216</f>
        <v>-25.236111111111111</v>
      </c>
      <c r="N216" s="65">
        <f>+M216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979B7-20AE-2743-ABA9-F7F449F69193}">
  <dimension ref="A1:O69"/>
  <sheetViews>
    <sheetView topLeftCell="A13" workbookViewId="0">
      <selection activeCell="B23" sqref="B23"/>
    </sheetView>
  </sheetViews>
  <sheetFormatPr defaultColWidth="8.85546875" defaultRowHeight="15" x14ac:dyDescent="0.25"/>
  <cols>
    <col min="1" max="1" width="48.85546875" customWidth="1"/>
    <col min="2" max="14" width="11.85546875" customWidth="1"/>
    <col min="15" max="15" width="39.85546875" customWidth="1"/>
  </cols>
  <sheetData>
    <row r="1" spans="1:15" ht="60" customHeight="1" x14ac:dyDescent="0.2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5">
      <c r="A2" s="40" t="s">
        <v>142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1" t="s">
        <v>136</v>
      </c>
      <c r="B3" s="9">
        <f>'Segmental forecast'!$B$3</f>
        <v>57362</v>
      </c>
      <c r="C3" s="9">
        <f>'Segmental forecast'!$C$3</f>
        <v>64032</v>
      </c>
      <c r="D3" s="9">
        <f>'Segmental forecast'!$D$3</f>
        <v>64468</v>
      </c>
      <c r="E3" s="9">
        <f>'Segmental forecast'!$E$3</f>
        <v>69011</v>
      </c>
      <c r="F3" s="9">
        <f>'Segmental forecast'!$F$3</f>
        <v>74493</v>
      </c>
      <c r="G3" s="9">
        <f>'Segmental forecast'!$G$3</f>
        <v>71507</v>
      </c>
      <c r="H3" s="9">
        <f>'Segmental forecast'!$H$3</f>
        <v>44538</v>
      </c>
      <c r="I3" s="9">
        <f>'Segmental forecast'!$I$3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t="s">
        <v>191</v>
      </c>
    </row>
    <row r="4" spans="1:15" x14ac:dyDescent="0.25">
      <c r="A4" s="42" t="s">
        <v>129</v>
      </c>
      <c r="B4" s="55" t="str">
        <f>'Segmental forecast'!$B$4</f>
        <v>nm</v>
      </c>
      <c r="C4" s="55">
        <f t="shared" ref="C4:I4" si="1">+IFERROR(C3/B3-1,"nm")</f>
        <v>0.11627906976744184</v>
      </c>
      <c r="D4" s="55">
        <f t="shared" si="1"/>
        <v>6.8090954522739278E-3</v>
      </c>
      <c r="E4" s="55">
        <f t="shared" si="1"/>
        <v>7.0469069926164973E-2</v>
      </c>
      <c r="F4" s="55">
        <f t="shared" si="1"/>
        <v>7.9436611554679626E-2</v>
      </c>
      <c r="G4" s="55">
        <f t="shared" si="1"/>
        <v>-4.008430322312162E-2</v>
      </c>
      <c r="H4" s="55">
        <f t="shared" si="1"/>
        <v>-0.37715188722782389</v>
      </c>
      <c r="I4" s="55">
        <f t="shared" si="1"/>
        <v>4.8767344739323759E-2</v>
      </c>
      <c r="J4" s="55">
        <f>I4</f>
        <v>4.8767344739323759E-2</v>
      </c>
      <c r="K4" s="55">
        <f>I4</f>
        <v>4.8767344739323759E-2</v>
      </c>
      <c r="L4" s="55">
        <f>I4</f>
        <v>4.8767344739323759E-2</v>
      </c>
      <c r="M4" s="55">
        <f>I4</f>
        <v>4.8767344739323759E-2</v>
      </c>
      <c r="N4" s="55">
        <f>I4</f>
        <v>4.8767344739323759E-2</v>
      </c>
    </row>
    <row r="5" spans="1:15" x14ac:dyDescent="0.25">
      <c r="A5" s="1" t="s">
        <v>143</v>
      </c>
      <c r="B5" s="9">
        <f>'Segmental forecast'!$B$5</f>
        <v>4839</v>
      </c>
      <c r="C5" s="9">
        <f>'Segmental forecast'!$C$5</f>
        <v>5291</v>
      </c>
      <c r="D5" s="9">
        <f>'Segmental forecast'!$D$5</f>
        <v>5644</v>
      </c>
      <c r="E5" s="9">
        <f>'Segmental forecast'!$E$5</f>
        <v>5126</v>
      </c>
      <c r="F5" s="9">
        <f>'Segmental forecast'!$F$5</f>
        <v>5555</v>
      </c>
      <c r="G5" s="9">
        <f>'Segmental forecast'!$G$35</f>
        <v>3047</v>
      </c>
      <c r="H5" s="9">
        <f>'Segmental forecast'!$H$5</f>
        <v>7667</v>
      </c>
      <c r="I5" s="9">
        <f>'Segmental forecast'!$I$5</f>
        <v>7573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5" x14ac:dyDescent="0.25">
      <c r="A6" s="50" t="s">
        <v>132</v>
      </c>
      <c r="B6" s="56">
        <f>'Segmental forecast'!$B$8</f>
        <v>606</v>
      </c>
      <c r="C6" s="56">
        <f>'Segmental forecast'!$C$8</f>
        <v>649</v>
      </c>
      <c r="D6" s="56">
        <f>'Segmental forecast'!$D$8</f>
        <v>699</v>
      </c>
      <c r="E6" s="56">
        <f>'Segmental forecast'!$E$8</f>
        <v>747</v>
      </c>
      <c r="F6" s="56">
        <f>'Segmental forecast'!$F$8</f>
        <v>705</v>
      </c>
      <c r="G6" s="56">
        <f>'Segmental forecast'!$G$8</f>
        <v>721</v>
      </c>
      <c r="H6" s="56">
        <f>'Segmental forecast'!$H$8</f>
        <v>744</v>
      </c>
      <c r="I6" s="56">
        <f>'Segmental forecast'!$I$8</f>
        <v>717</v>
      </c>
      <c r="J6" s="56">
        <f>'Segmental forecast'!J8</f>
        <v>1290.4712813823473</v>
      </c>
      <c r="K6" s="56">
        <f>'Segmental forecast'!K8</f>
        <v>1438.4574826929331</v>
      </c>
      <c r="L6" s="56">
        <f>'Segmental forecast'!L8</f>
        <v>1610.7469934160981</v>
      </c>
      <c r="M6" s="56">
        <f>'Segmental forecast'!M8</f>
        <v>1811.7510402383245</v>
      </c>
      <c r="N6" s="56">
        <f>'Segmental forecast'!N8</f>
        <v>2046.7713409784781</v>
      </c>
    </row>
    <row r="7" spans="1:15" x14ac:dyDescent="0.25">
      <c r="A7" s="4" t="s">
        <v>134</v>
      </c>
      <c r="B7" s="5">
        <f>'Segmental forecast'!$B$11</f>
        <v>4233</v>
      </c>
      <c r="C7" s="5">
        <f>'Segmental forecast'!$C$11</f>
        <v>4642</v>
      </c>
      <c r="D7" s="5">
        <f>'Segmental forecast'!$D$11</f>
        <v>4945</v>
      </c>
      <c r="E7" s="5">
        <f>'Segmental forecast'!$E$11</f>
        <v>4379</v>
      </c>
      <c r="F7" s="5">
        <f>'Segmental forecast'!$F$11</f>
        <v>4850</v>
      </c>
      <c r="G7" s="5">
        <f>'Segmental forecast'!$G$11</f>
        <v>2976</v>
      </c>
      <c r="H7" s="5">
        <f>'Segmental forecast'!$H$11</f>
        <v>6923</v>
      </c>
      <c r="I7" s="5">
        <f>'Segmental forecast'!$I$11</f>
        <v>6856</v>
      </c>
      <c r="J7" s="5">
        <f>'Segmental forecast'!J11</f>
        <v>6552.545818617652</v>
      </c>
      <c r="K7" s="5">
        <f>'Segmental forecast'!K11</f>
        <v>7156.1622953070637</v>
      </c>
      <c r="L7" s="5">
        <f>'Segmental forecast'!L11</f>
        <v>7875.5487958238991</v>
      </c>
      <c r="M7" s="5">
        <f>'Segmental forecast'!M11</f>
        <v>8731.9325010208686</v>
      </c>
      <c r="N7" s="5">
        <f>'Segmental forecast'!N11</f>
        <v>9750.9581771098528</v>
      </c>
    </row>
    <row r="8" spans="1:15" x14ac:dyDescent="0.25">
      <c r="A8" s="42" t="s">
        <v>129</v>
      </c>
      <c r="B8" s="55" t="str">
        <f>'Segmental forecast'!$B$12</f>
        <v>nm</v>
      </c>
      <c r="C8" s="55">
        <f>+IFERROR(C7/B7-1,"nm")</f>
        <v>9.6621781242617555E-2</v>
      </c>
      <c r="D8" s="55">
        <f>+IFERROR(D7/C7-1,"nm")</f>
        <v>6.5273588970271357E-2</v>
      </c>
      <c r="E8" s="55">
        <f>+IFERROR(E7/D7-1,"nm")</f>
        <v>-0.11445904954499497</v>
      </c>
      <c r="F8" s="55">
        <f>+IFERROR(F7/E7-1,"nm")</f>
        <v>0.10755880337976698</v>
      </c>
      <c r="G8" s="55">
        <f>+IFERROR(G7/H7-1,"nm")</f>
        <v>-0.57012855698396647</v>
      </c>
      <c r="H8" s="55">
        <f>+IFERROR(H7/G7-1,"nm")</f>
        <v>1.32627688172043</v>
      </c>
      <c r="I8" s="55">
        <f>+IFERROR(I7/H7-1,"nm")</f>
        <v>-9.67788530983682E-3</v>
      </c>
      <c r="J8" s="55">
        <f>I4</f>
        <v>4.8767344739323759E-2</v>
      </c>
      <c r="K8" s="55">
        <f>I4</f>
        <v>4.8767344739323759E-2</v>
      </c>
      <c r="L8" s="55">
        <f>I4</f>
        <v>4.8767344739323759E-2</v>
      </c>
      <c r="M8" s="55">
        <f>I4</f>
        <v>4.8767344739323759E-2</v>
      </c>
      <c r="N8" s="55">
        <f>I4</f>
        <v>4.8767344739323759E-2</v>
      </c>
    </row>
    <row r="9" spans="1:15" x14ac:dyDescent="0.25">
      <c r="A9" s="42" t="s">
        <v>131</v>
      </c>
      <c r="B9" s="55">
        <f>'Segmental forecast'!$B$13</f>
        <v>7.3794498099787317E-2</v>
      </c>
      <c r="C9" s="55">
        <f>'Segmental forecast'!$C$13</f>
        <v>7.2495002498750627E-2</v>
      </c>
      <c r="D9" s="55">
        <f>'Segmental forecast'!$D$13</f>
        <v>7.6704721722404917E-2</v>
      </c>
      <c r="E9" s="55">
        <f>'Segmental forecast'!$E$13</f>
        <v>6.3453652316297404E-2</v>
      </c>
      <c r="F9" s="55">
        <f>'Segmental forecast'!$F$13</f>
        <v>6.510678855731411E-2</v>
      </c>
      <c r="G9" s="55">
        <f>'Segmental forecast'!$G$13</f>
        <v>4.1618303103192693E-2</v>
      </c>
      <c r="H9" s="55">
        <f>'Segmental forecast'!$H$13</f>
        <v>0.1554402981723472</v>
      </c>
      <c r="I9" s="55">
        <f>'Segmental forecast'!$I$13</f>
        <v>0.14677799186469706</v>
      </c>
      <c r="J9" s="55">
        <f>'Segmental forecast'!J13</f>
        <v>0.12810473798717636</v>
      </c>
      <c r="K9" s="55">
        <f>'Segmental forecast'!K13</f>
        <v>0.1272475426854891</v>
      </c>
      <c r="L9" s="55">
        <f>'Segmental forecast'!L13</f>
        <v>0.12671388355646607</v>
      </c>
      <c r="M9" s="55">
        <f>'Segmental forecast'!M13</f>
        <v>0.12648425380128275</v>
      </c>
      <c r="N9" s="55">
        <f>'Segmental forecast'!N13</f>
        <v>0.12653634133037725</v>
      </c>
    </row>
    <row r="10" spans="1:15" x14ac:dyDescent="0.25">
      <c r="A10" s="2" t="s">
        <v>24</v>
      </c>
      <c r="B10" s="3">
        <f>Historicals!$B$8</f>
        <v>28</v>
      </c>
      <c r="C10" s="3">
        <f>Historicals!$C$8</f>
        <v>19</v>
      </c>
      <c r="D10" s="3">
        <f>Historicals!$D$8</f>
        <v>59</v>
      </c>
      <c r="E10" s="3">
        <f>Historicals!$E$8</f>
        <v>54</v>
      </c>
      <c r="F10" s="3">
        <f>Historicals!$F$8</f>
        <v>49</v>
      </c>
      <c r="G10" s="3">
        <f>Historicals!$G$8</f>
        <v>89</v>
      </c>
      <c r="H10" s="3">
        <f>Historicals!$H$8</f>
        <v>262</v>
      </c>
      <c r="I10" s="3">
        <f>Historicals!$I$8</f>
        <v>205</v>
      </c>
      <c r="J10" s="74">
        <f>J50</f>
        <v>814.53</v>
      </c>
      <c r="K10" s="74">
        <f t="shared" ref="K10:N10" si="2">K50</f>
        <v>828.36763346833152</v>
      </c>
      <c r="L10" s="74">
        <f t="shared" si="2"/>
        <v>817.31178977233071</v>
      </c>
      <c r="M10" s="74">
        <f t="shared" si="2"/>
        <v>822.95256520015539</v>
      </c>
      <c r="N10" s="74">
        <f t="shared" si="2"/>
        <v>849.80777690156901</v>
      </c>
    </row>
    <row r="11" spans="1:15" x14ac:dyDescent="0.25">
      <c r="A11" s="4" t="s">
        <v>144</v>
      </c>
      <c r="B11" s="5">
        <f>Historicals!$B$10</f>
        <v>4205</v>
      </c>
      <c r="C11" s="5">
        <f>Historicals!$C$10</f>
        <v>4623</v>
      </c>
      <c r="D11" s="5">
        <f>Historicals!$C$10</f>
        <v>4623</v>
      </c>
      <c r="E11" s="5">
        <f>Historicals!$E$10</f>
        <v>4325</v>
      </c>
      <c r="F11" s="5">
        <f>Historicals!$F$10</f>
        <v>4801</v>
      </c>
      <c r="G11" s="5">
        <f>Historicals!$G$10</f>
        <v>2887</v>
      </c>
      <c r="H11" s="5">
        <f>Historicals!$H$10</f>
        <v>6661</v>
      </c>
      <c r="I11" s="5">
        <f>Historicals!$I$10</f>
        <v>6651</v>
      </c>
      <c r="J11" s="5">
        <f>J7-J10</f>
        <v>5738.0158186176523</v>
      </c>
      <c r="K11" s="5">
        <f t="shared" ref="K11:N11" si="3">K7-K10</f>
        <v>6327.7946618387323</v>
      </c>
      <c r="L11" s="5">
        <f t="shared" si="3"/>
        <v>7058.2370060515686</v>
      </c>
      <c r="M11" s="5">
        <f t="shared" si="3"/>
        <v>7908.9799358207129</v>
      </c>
      <c r="N11" s="5">
        <f t="shared" si="3"/>
        <v>8901.1504002082838</v>
      </c>
    </row>
    <row r="12" spans="1:15" x14ac:dyDescent="0.25">
      <c r="A12" t="s">
        <v>26</v>
      </c>
      <c r="B12" s="3">
        <f>Historicals!$B$11</f>
        <v>932</v>
      </c>
      <c r="C12" s="3">
        <f>Historicals!$C$11</f>
        <v>863</v>
      </c>
      <c r="D12" s="3">
        <f>Historicals!$C$11</f>
        <v>863</v>
      </c>
      <c r="E12" s="3">
        <f>Historicals!$E$11</f>
        <v>2392</v>
      </c>
      <c r="F12" s="3">
        <f>Historicals!$F$11</f>
        <v>772</v>
      </c>
      <c r="G12" s="3">
        <f>Historicals!$G$11</f>
        <v>348</v>
      </c>
      <c r="H12" s="3">
        <f>Historicals!$H$11</f>
        <v>934</v>
      </c>
      <c r="I12" s="3">
        <f>Historicals!$I$11</f>
        <v>605</v>
      </c>
      <c r="J12" s="3">
        <f>J11*J13</f>
        <v>545.11150276867693</v>
      </c>
      <c r="K12" s="3">
        <f t="shared" ref="K12:N12" si="4">K11*K13</f>
        <v>601.14049287467958</v>
      </c>
      <c r="L12" s="3">
        <f t="shared" si="4"/>
        <v>670.53251557489898</v>
      </c>
      <c r="M12" s="3">
        <f t="shared" si="4"/>
        <v>751.35309390296777</v>
      </c>
      <c r="N12" s="3">
        <f t="shared" si="4"/>
        <v>845.60928801978696</v>
      </c>
    </row>
    <row r="13" spans="1:15" x14ac:dyDescent="0.25">
      <c r="A13" s="51" t="s">
        <v>145</v>
      </c>
      <c r="B13" s="57">
        <f t="shared" ref="B13:I13" si="5">B12/B11</f>
        <v>0.22164090368608799</v>
      </c>
      <c r="C13" s="57">
        <f t="shared" si="5"/>
        <v>0.18667531905688947</v>
      </c>
      <c r="D13" s="57">
        <f t="shared" si="5"/>
        <v>0.18667531905688947</v>
      </c>
      <c r="E13" s="57">
        <f t="shared" si="5"/>
        <v>0.55306358381502885</v>
      </c>
      <c r="F13" s="57">
        <f t="shared" si="5"/>
        <v>0.16079983336804832</v>
      </c>
      <c r="G13" s="57">
        <f t="shared" si="5"/>
        <v>0.12054035330793211</v>
      </c>
      <c r="H13" s="57">
        <f t="shared" si="5"/>
        <v>0.14021918630836211</v>
      </c>
      <c r="I13" s="57">
        <f t="shared" si="5"/>
        <v>9.0963764847391368E-2</v>
      </c>
      <c r="J13" s="57">
        <v>9.5000000000000001E-2</v>
      </c>
      <c r="K13" s="57">
        <f>J13</f>
        <v>9.5000000000000001E-2</v>
      </c>
      <c r="L13" s="57">
        <f t="shared" ref="L13:N13" si="6">K13</f>
        <v>9.5000000000000001E-2</v>
      </c>
      <c r="M13" s="57">
        <f t="shared" si="6"/>
        <v>9.5000000000000001E-2</v>
      </c>
      <c r="N13" s="57">
        <f t="shared" si="6"/>
        <v>9.5000000000000001E-2</v>
      </c>
    </row>
    <row r="14" spans="1:15" ht="15.75" thickBot="1" x14ac:dyDescent="0.3">
      <c r="A14" s="6" t="s">
        <v>146</v>
      </c>
      <c r="B14" s="7">
        <f>Historicals!$B$12</f>
        <v>3273</v>
      </c>
      <c r="C14" s="7">
        <f>Historicals!$C$12</f>
        <v>3760</v>
      </c>
      <c r="D14" s="7">
        <f>Historicals!$D$12</f>
        <v>4240</v>
      </c>
      <c r="E14" s="7">
        <f>Historicals!$E$12</f>
        <v>1933</v>
      </c>
      <c r="F14" s="7">
        <f>Historicals!$F$12</f>
        <v>4029</v>
      </c>
      <c r="G14" s="7">
        <f>Historicals!$G$12</f>
        <v>2539</v>
      </c>
      <c r="H14" s="7">
        <f>Historicals!$H$12</f>
        <v>5727</v>
      </c>
      <c r="I14" s="7">
        <f>Historicals!$I$12</f>
        <v>6046</v>
      </c>
      <c r="J14" s="7">
        <f>J11-J12</f>
        <v>5192.9043158489749</v>
      </c>
      <c r="K14" s="7">
        <f t="shared" ref="K14:N14" si="7">K11-K12</f>
        <v>5726.6541689640526</v>
      </c>
      <c r="L14" s="7">
        <f t="shared" si="7"/>
        <v>6387.7044904766699</v>
      </c>
      <c r="M14" s="7">
        <f t="shared" si="7"/>
        <v>7157.626841917745</v>
      </c>
      <c r="N14" s="7">
        <f t="shared" si="7"/>
        <v>8055.5411121884972</v>
      </c>
    </row>
    <row r="15" spans="1:15" ht="15.75" thickTop="1" x14ac:dyDescent="0.25">
      <c r="A15" t="s">
        <v>147</v>
      </c>
      <c r="B15" s="3">
        <f>Historicals!$B$18</f>
        <v>1768.8</v>
      </c>
      <c r="C15" s="3">
        <f>Historicals!$C$18</f>
        <v>1742.5</v>
      </c>
      <c r="D15" s="3">
        <f>Historicals!$D$18</f>
        <v>1692</v>
      </c>
      <c r="E15" s="3">
        <f>Historicals!$E$18</f>
        <v>1659.1</v>
      </c>
      <c r="F15" s="3">
        <f>Historicals!$F$18</f>
        <v>1618.4</v>
      </c>
      <c r="G15" s="3">
        <f>Historicals!$G$18</f>
        <v>1591.6</v>
      </c>
      <c r="H15" s="3">
        <f>Historicals!$H$18</f>
        <v>1609.4</v>
      </c>
      <c r="I15" s="3">
        <f>Historicals!$I$18</f>
        <v>1610.8</v>
      </c>
      <c r="J15" s="74">
        <f>I15-R29*-1</f>
        <v>1610.8</v>
      </c>
      <c r="K15" s="74">
        <f>J15-S29*-1</f>
        <v>1610.8</v>
      </c>
      <c r="L15" s="74">
        <f>K15-T29*-1</f>
        <v>1610.8</v>
      </c>
      <c r="M15" s="74">
        <f>L15-U29*-1</f>
        <v>1610.8</v>
      </c>
      <c r="N15" s="74">
        <f>M15-V29*-1</f>
        <v>1610.8</v>
      </c>
      <c r="O15" t="s">
        <v>192</v>
      </c>
    </row>
    <row r="16" spans="1:15" x14ac:dyDescent="0.25">
      <c r="A16" t="s">
        <v>148</v>
      </c>
      <c r="B16" s="58">
        <f>Historicals!$B$15</f>
        <v>1.85</v>
      </c>
      <c r="C16" s="58">
        <f>Historicals!$C$15</f>
        <v>2.16</v>
      </c>
      <c r="D16" s="58">
        <f>Historicals!$D$15</f>
        <v>2.5099999999999998</v>
      </c>
      <c r="E16" s="58">
        <f>Historicals!$E$15</f>
        <v>1.17</v>
      </c>
      <c r="F16" s="58">
        <f>Historicals!$F$15</f>
        <v>2.4900000000000002</v>
      </c>
      <c r="G16" s="58">
        <f>Historicals!$G$15</f>
        <v>1.6</v>
      </c>
      <c r="H16" s="58">
        <f>Historicals!$H$15</f>
        <v>3.56</v>
      </c>
      <c r="I16" s="58">
        <f>Historicals!$I$15</f>
        <v>3.75</v>
      </c>
      <c r="J16" s="58">
        <f>J14/J15</f>
        <v>3.2238045169164233</v>
      </c>
      <c r="K16" s="58">
        <f t="shared" ref="K16:N16" si="8">K14/K15</f>
        <v>3.5551615153737601</v>
      </c>
      <c r="L16" s="58">
        <f t="shared" si="8"/>
        <v>3.9655478585030233</v>
      </c>
      <c r="M16" s="58">
        <f t="shared" si="8"/>
        <v>4.4435229959757541</v>
      </c>
      <c r="N16" s="58">
        <f t="shared" si="8"/>
        <v>5.0009567371421015</v>
      </c>
    </row>
    <row r="17" spans="1:15" x14ac:dyDescent="0.25">
      <c r="A17" t="s">
        <v>149</v>
      </c>
      <c r="B17" s="58">
        <f>Historicals!B94/Historicals!B18*-1</f>
        <v>1.4326096788783356</v>
      </c>
      <c r="C17" s="58">
        <f>Historicals!C94/Historicals!C18*-1</f>
        <v>0.58651362984218081</v>
      </c>
      <c r="D17" s="58">
        <f>Historicals!D94/Historicals!D18*-1</f>
        <v>0.66962174940898345</v>
      </c>
      <c r="E17" s="58">
        <f>Historicals!E94/Historicals!E18*-1</f>
        <v>0.74920137423904531</v>
      </c>
      <c r="F17" s="58">
        <f>Historicals!F94/Historicals!F18*-1</f>
        <v>0.82303509639149774</v>
      </c>
      <c r="G17" s="58">
        <f>Historicals!G94/Historicals!G18*-1</f>
        <v>0.91228951997989449</v>
      </c>
      <c r="H17" s="58">
        <f>Historicals!H94/Historicals!H18*-1</f>
        <v>1.0177705977382876</v>
      </c>
      <c r="I17" s="58">
        <f>Historicals!I94/Historicals!I18*-1</f>
        <v>1.1404271169605165</v>
      </c>
      <c r="J17" s="58">
        <f>J16*J19</f>
        <v>1.1283315809207481</v>
      </c>
      <c r="K17" s="58">
        <f t="shared" ref="K17:N17" si="9">K16*K19</f>
        <v>1.2443065303808161</v>
      </c>
      <c r="L17" s="58">
        <f t="shared" si="9"/>
        <v>1.3879417504760581</v>
      </c>
      <c r="M17" s="58">
        <f t="shared" si="9"/>
        <v>1.5552330485915138</v>
      </c>
      <c r="N17" s="58">
        <f t="shared" si="9"/>
        <v>1.7503348579997353</v>
      </c>
    </row>
    <row r="18" spans="1:15" x14ac:dyDescent="0.25">
      <c r="A18" s="51" t="s">
        <v>129</v>
      </c>
      <c r="B18" s="57" t="str">
        <f t="shared" ref="B18:N18" si="10">+IFERROR(B17/A17-1,"nm")</f>
        <v>nm</v>
      </c>
      <c r="C18" s="57">
        <f t="shared" si="10"/>
        <v>-0.59059774725144065</v>
      </c>
      <c r="D18" s="57">
        <f t="shared" si="10"/>
        <v>0.14169853067040461</v>
      </c>
      <c r="E18" s="57">
        <f t="shared" si="10"/>
        <v>0.11884265243818604</v>
      </c>
      <c r="F18" s="57">
        <f t="shared" si="10"/>
        <v>9.8549902190775418E-2</v>
      </c>
      <c r="G18" s="57">
        <f t="shared" si="10"/>
        <v>0.10844546481641237</v>
      </c>
      <c r="H18" s="57">
        <f t="shared" si="10"/>
        <v>0.11562237146023313</v>
      </c>
      <c r="I18" s="57">
        <f t="shared" si="10"/>
        <v>0.12051489745803123</v>
      </c>
      <c r="J18" s="75">
        <f t="shared" si="10"/>
        <v>-1.0606145592193195E-2</v>
      </c>
      <c r="K18" s="75">
        <f t="shared" si="10"/>
        <v>0.10278445753102949</v>
      </c>
      <c r="L18" s="75">
        <f t="shared" si="10"/>
        <v>0.11543395183442695</v>
      </c>
      <c r="M18" s="75">
        <f t="shared" si="10"/>
        <v>0.1205319301462584</v>
      </c>
      <c r="N18" s="75">
        <f t="shared" si="10"/>
        <v>0.12544860050711648</v>
      </c>
      <c r="O18" t="s">
        <v>193</v>
      </c>
    </row>
    <row r="19" spans="1:15" x14ac:dyDescent="0.25">
      <c r="A19" s="51" t="s">
        <v>150</v>
      </c>
      <c r="B19" s="57">
        <f t="shared" ref="B19:I19" si="11">B17/B16</f>
        <v>0.77438361020450563</v>
      </c>
      <c r="C19" s="57">
        <f t="shared" si="11"/>
        <v>0.27153408788989852</v>
      </c>
      <c r="D19" s="57">
        <f t="shared" si="11"/>
        <v>0.26678157346971454</v>
      </c>
      <c r="E19" s="57">
        <f t="shared" si="11"/>
        <v>0.64034305490516696</v>
      </c>
      <c r="F19" s="57">
        <f t="shared" si="11"/>
        <v>0.33053618328975809</v>
      </c>
      <c r="G19" s="57">
        <f t="shared" si="11"/>
        <v>0.57018094998743407</v>
      </c>
      <c r="H19" s="57">
        <f t="shared" si="11"/>
        <v>0.2858906173422156</v>
      </c>
      <c r="I19" s="57">
        <f t="shared" si="11"/>
        <v>0.30411389785613774</v>
      </c>
      <c r="J19" s="75">
        <v>0.35</v>
      </c>
      <c r="K19" s="75">
        <f>J19</f>
        <v>0.35</v>
      </c>
      <c r="L19" s="75">
        <f t="shared" ref="L19:N19" si="12">K19</f>
        <v>0.35</v>
      </c>
      <c r="M19" s="75">
        <f t="shared" si="12"/>
        <v>0.35</v>
      </c>
      <c r="N19" s="75">
        <f t="shared" si="12"/>
        <v>0.35</v>
      </c>
      <c r="O19" t="s">
        <v>193</v>
      </c>
    </row>
    <row r="20" spans="1:15" x14ac:dyDescent="0.25">
      <c r="A20" s="52" t="s">
        <v>151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8719.6592996666477</v>
      </c>
      <c r="K21" s="3">
        <f>K68</f>
        <v>8603.2819976034807</v>
      </c>
      <c r="L21" s="3">
        <f t="shared" ref="L21:N21" si="13">L68</f>
        <v>8662.6585810542674</v>
      </c>
      <c r="M21" s="3">
        <f t="shared" si="13"/>
        <v>8945.3450200165153</v>
      </c>
      <c r="N21" s="3">
        <f t="shared" si="13"/>
        <v>9508.0707555738263</v>
      </c>
    </row>
    <row r="22" spans="1:15" x14ac:dyDescent="0.25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4">
        <f>I22</f>
        <v>4423</v>
      </c>
      <c r="K22" s="74">
        <f t="shared" ref="K22:N22" si="14">J22</f>
        <v>4423</v>
      </c>
      <c r="L22" s="74">
        <f t="shared" si="14"/>
        <v>4423</v>
      </c>
      <c r="M22" s="74">
        <f t="shared" si="14"/>
        <v>4423</v>
      </c>
      <c r="N22" s="74">
        <f t="shared" si="14"/>
        <v>4423</v>
      </c>
    </row>
    <row r="23" spans="1:15" x14ac:dyDescent="0.25">
      <c r="A23" t="s">
        <v>154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15">K3*K24</f>
        <v>11247.62356</v>
      </c>
      <c r="L23" s="3">
        <f t="shared" si="15"/>
        <v>12430.443412800001</v>
      </c>
      <c r="M23" s="3">
        <f t="shared" si="15"/>
        <v>13807.145535664002</v>
      </c>
      <c r="N23" s="3">
        <f t="shared" si="15"/>
        <v>15412.107027262318</v>
      </c>
    </row>
    <row r="24" spans="1:15" x14ac:dyDescent="0.25">
      <c r="A24" s="51" t="s">
        <v>155</v>
      </c>
      <c r="B24" s="57">
        <f t="shared" ref="B24:I24" si="16">B23/B3</f>
        <v>9.6998012621596172E-2</v>
      </c>
      <c r="C24" s="57">
        <f t="shared" si="16"/>
        <v>9.1954022988505746E-2</v>
      </c>
      <c r="D24" s="57">
        <f t="shared" si="16"/>
        <v>0.10367934479121424</v>
      </c>
      <c r="E24" s="57">
        <f t="shared" si="16"/>
        <v>9.3898074220051878E-2</v>
      </c>
      <c r="F24" s="57">
        <f t="shared" si="16"/>
        <v>9.775415139677554E-2</v>
      </c>
      <c r="G24" s="57">
        <f t="shared" si="16"/>
        <v>0.11003118575803768</v>
      </c>
      <c r="H24" s="57">
        <f t="shared" si="16"/>
        <v>0.19042166240064665</v>
      </c>
      <c r="I24" s="57">
        <f t="shared" si="16"/>
        <v>0.20828516377649325</v>
      </c>
      <c r="J24" s="57">
        <v>0.2</v>
      </c>
      <c r="K24" s="57">
        <v>0.2</v>
      </c>
      <c r="L24" s="57">
        <v>0.2</v>
      </c>
      <c r="M24" s="57">
        <v>0.2</v>
      </c>
      <c r="N24" s="57">
        <v>0.2</v>
      </c>
    </row>
    <row r="25" spans="1:15" x14ac:dyDescent="0.25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17">J25</f>
        <v>2129</v>
      </c>
      <c r="L25" s="3">
        <f t="shared" si="17"/>
        <v>2129</v>
      </c>
      <c r="M25" s="3">
        <f t="shared" si="17"/>
        <v>2129</v>
      </c>
      <c r="N25" s="3">
        <f t="shared" si="17"/>
        <v>2129</v>
      </c>
    </row>
    <row r="26" spans="1:15" x14ac:dyDescent="0.25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4886</v>
      </c>
      <c r="H26" s="3">
        <f>Historicals!H31</f>
        <v>4904</v>
      </c>
      <c r="I26" s="3">
        <f>Historicals!I31</f>
        <v>4791</v>
      </c>
      <c r="J26" s="3">
        <f>I26-J47-J55</f>
        <v>4377.5965056351843</v>
      </c>
      <c r="K26" s="3">
        <f>J26-K47-K55</f>
        <v>3906.1999575249879</v>
      </c>
      <c r="L26" s="3">
        <f>K26-L47-L55</f>
        <v>3365.7310650840354</v>
      </c>
      <c r="M26" s="3">
        <f>L26-M47-M55</f>
        <v>2742.8055567543224</v>
      </c>
      <c r="N26" s="3">
        <f>M26-N47-N55</f>
        <v>2021.2259390837173</v>
      </c>
    </row>
    <row r="27" spans="1:15" x14ac:dyDescent="0.25">
      <c r="A27" t="s">
        <v>158</v>
      </c>
      <c r="B27" s="3">
        <f>Historicals!B33</f>
        <v>280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30" si="18">J27</f>
        <v>286</v>
      </c>
      <c r="L27" s="3">
        <f t="shared" si="18"/>
        <v>286</v>
      </c>
      <c r="M27" s="3">
        <f t="shared" si="18"/>
        <v>286</v>
      </c>
      <c r="N27" s="3">
        <f t="shared" si="18"/>
        <v>286</v>
      </c>
    </row>
    <row r="28" spans="1:15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si="18"/>
        <v>284</v>
      </c>
      <c r="L28" s="3">
        <f t="shared" si="18"/>
        <v>284</v>
      </c>
      <c r="M28" s="3">
        <f t="shared" si="18"/>
        <v>284</v>
      </c>
      <c r="N28" s="3">
        <f t="shared" si="18"/>
        <v>284</v>
      </c>
    </row>
    <row r="29" spans="1:15" x14ac:dyDescent="0.25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si="18"/>
        <v>2926</v>
      </c>
      <c r="L29" s="3">
        <f t="shared" si="18"/>
        <v>2926</v>
      </c>
      <c r="M29" s="3">
        <f t="shared" si="18"/>
        <v>2926</v>
      </c>
      <c r="N29" s="3">
        <f t="shared" si="18"/>
        <v>2926</v>
      </c>
    </row>
    <row r="30" spans="1:15" x14ac:dyDescent="0.25">
      <c r="A30" t="s">
        <v>159</v>
      </c>
      <c r="B30" s="3">
        <f>Historicals!B35</f>
        <v>2587</v>
      </c>
      <c r="C30" s="3">
        <f>Historicals!B35</f>
        <v>2587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18"/>
        <v>3821</v>
      </c>
      <c r="L30" s="3">
        <f t="shared" si="18"/>
        <v>3821</v>
      </c>
      <c r="M30" s="3">
        <f t="shared" si="18"/>
        <v>3821</v>
      </c>
      <c r="N30" s="3">
        <f t="shared" si="18"/>
        <v>3821</v>
      </c>
    </row>
    <row r="31" spans="1:15" ht="15.75" thickBot="1" x14ac:dyDescent="0.3">
      <c r="A31" s="6" t="s">
        <v>160</v>
      </c>
      <c r="B31" s="7">
        <f>B21+B22+B23+B25+B26+B27+B28+B29+B30</f>
        <v>19465</v>
      </c>
      <c r="C31" s="7">
        <f>C21+C22+C23+C25+C26+C27+C28+C29+C30</f>
        <v>19353</v>
      </c>
      <c r="D31" s="7">
        <f>D21+D22+D23+D25+D26+D27+D28+D30</f>
        <v>21211</v>
      </c>
      <c r="E31" s="7">
        <f>E21+E22+E23+E25+E26+E27+E28+E30</f>
        <v>20257</v>
      </c>
      <c r="F31" s="7">
        <f>F21+F23+F22+F25+F26+F27+F28+F30</f>
        <v>21105</v>
      </c>
      <c r="G31" s="7">
        <f>G21+G22+G23+G25+G26+G27+G28+G29+G30</f>
        <v>29114</v>
      </c>
      <c r="H31" s="7">
        <f>H21+H23+H22+H25+H26+H27+H28+H29+H30</f>
        <v>34904</v>
      </c>
      <c r="I31" s="7">
        <f>I21+I22+I23+I25+I26+I27+I28+I29+I30</f>
        <v>36963</v>
      </c>
      <c r="J31" s="7">
        <f>J21+J22+J23+J25+J26+J27+J28+J29+J30</f>
        <v>37196.237805301833</v>
      </c>
      <c r="K31" s="7">
        <f t="shared" ref="K31:N31" si="19">K21+K22+K23+K25+K26+K27+K28+K29+K30</f>
        <v>37626.105515128467</v>
      </c>
      <c r="L31" s="7">
        <f t="shared" si="19"/>
        <v>38327.833058938304</v>
      </c>
      <c r="M31" s="7">
        <f t="shared" si="19"/>
        <v>39364.296112434837</v>
      </c>
      <c r="N31" s="7">
        <f t="shared" si="19"/>
        <v>40810.403721919865</v>
      </c>
    </row>
    <row r="32" spans="1:15" ht="15.75" thickTop="1" x14ac:dyDescent="0.25">
      <c r="A32" t="s">
        <v>161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0">J33</f>
        <v>500</v>
      </c>
      <c r="L33" s="3">
        <f t="shared" si="20"/>
        <v>500</v>
      </c>
      <c r="M33" s="3">
        <f t="shared" si="20"/>
        <v>500</v>
      </c>
      <c r="N33" s="3">
        <f t="shared" si="20"/>
        <v>500</v>
      </c>
    </row>
    <row r="34" spans="1:14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Historicals!F40</f>
        <v>9</v>
      </c>
      <c r="I34" s="3">
        <f>Historicals!I40</f>
        <v>10</v>
      </c>
      <c r="J34" s="3">
        <f t="shared" ref="J34:N38" si="21">I34</f>
        <v>10</v>
      </c>
      <c r="K34" s="3">
        <f t="shared" si="21"/>
        <v>10</v>
      </c>
      <c r="L34" s="3">
        <f t="shared" si="21"/>
        <v>10</v>
      </c>
      <c r="M34" s="3">
        <f t="shared" si="21"/>
        <v>10</v>
      </c>
      <c r="N34" s="3">
        <f t="shared" si="21"/>
        <v>10</v>
      </c>
    </row>
    <row r="35" spans="1:14" x14ac:dyDescent="0.25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6530</v>
      </c>
      <c r="I35" s="3">
        <f>Historicals!I42+Historicals!I43+Historicals!I44</f>
        <v>6862</v>
      </c>
      <c r="J35" s="3">
        <f t="shared" si="21"/>
        <v>6862</v>
      </c>
      <c r="K35" s="3">
        <f t="shared" si="21"/>
        <v>6862</v>
      </c>
      <c r="L35" s="3">
        <f t="shared" si="21"/>
        <v>6862</v>
      </c>
      <c r="M35" s="3">
        <f t="shared" si="21"/>
        <v>6862</v>
      </c>
      <c r="N35" s="3">
        <f t="shared" si="21"/>
        <v>6862</v>
      </c>
    </row>
    <row r="36" spans="1:14" x14ac:dyDescent="0.2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21"/>
        <v>8920</v>
      </c>
      <c r="K36" s="3">
        <f t="shared" si="21"/>
        <v>8920</v>
      </c>
      <c r="L36" s="3">
        <f t="shared" si="21"/>
        <v>8920</v>
      </c>
      <c r="M36" s="3">
        <f t="shared" si="21"/>
        <v>8920</v>
      </c>
      <c r="N36" s="3">
        <f t="shared" si="21"/>
        <v>8920</v>
      </c>
    </row>
    <row r="37" spans="1:14" x14ac:dyDescent="0.25">
      <c r="A37" s="53" t="s">
        <v>50</v>
      </c>
      <c r="B37" s="3">
        <f>Historicals!B47</f>
        <v>1479</v>
      </c>
      <c r="C37" s="3">
        <f>Historicals!C47</f>
        <v>1770</v>
      </c>
      <c r="D37" s="3">
        <f>Historicals!D47</f>
        <v>1907</v>
      </c>
      <c r="E37" s="3">
        <f>Historicals!E47</f>
        <v>3216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21"/>
        <v>2777</v>
      </c>
      <c r="K37" s="3">
        <f t="shared" si="21"/>
        <v>2777</v>
      </c>
      <c r="L37" s="3">
        <f t="shared" si="21"/>
        <v>2777</v>
      </c>
      <c r="M37" s="3">
        <f t="shared" si="21"/>
        <v>2777</v>
      </c>
      <c r="N37" s="3">
        <f t="shared" si="21"/>
        <v>2777</v>
      </c>
    </row>
    <row r="38" spans="1:14" x14ac:dyDescent="0.25">
      <c r="A38" t="s">
        <v>163</v>
      </c>
      <c r="B38" s="3">
        <f>Historicals!B48</f>
        <v>0</v>
      </c>
      <c r="C38" s="3">
        <f>Historicals!C48</f>
        <v>0</v>
      </c>
      <c r="D38" s="3">
        <f>Historicals!D48</f>
        <v>0</v>
      </c>
      <c r="E38" s="3">
        <f>Historicals!E48</f>
        <v>0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21"/>
        <v>2613</v>
      </c>
      <c r="K38" s="3">
        <f t="shared" si="21"/>
        <v>2613</v>
      </c>
      <c r="L38" s="3">
        <f t="shared" si="21"/>
        <v>2613</v>
      </c>
      <c r="M38" s="3">
        <f t="shared" si="21"/>
        <v>2613</v>
      </c>
      <c r="N38" s="3">
        <f t="shared" si="21"/>
        <v>2613</v>
      </c>
    </row>
    <row r="39" spans="1:14" x14ac:dyDescent="0.25">
      <c r="A39" t="s">
        <v>164</v>
      </c>
      <c r="B39" s="3">
        <f t="shared" ref="B39:N39" si="22">B40+B41+B42</f>
        <v>12707</v>
      </c>
      <c r="C39" s="3">
        <f t="shared" si="22"/>
        <v>12258</v>
      </c>
      <c r="D39" s="3">
        <f t="shared" si="22"/>
        <v>12407</v>
      </c>
      <c r="E39" s="3">
        <f t="shared" si="22"/>
        <v>9812</v>
      </c>
      <c r="F39" s="3">
        <f t="shared" si="22"/>
        <v>9040</v>
      </c>
      <c r="G39" s="3">
        <f t="shared" si="22"/>
        <v>8055</v>
      </c>
      <c r="H39" s="3">
        <f t="shared" si="22"/>
        <v>12767</v>
      </c>
      <c r="I39" s="3">
        <f t="shared" si="22"/>
        <v>15281</v>
      </c>
      <c r="J39" s="3">
        <f t="shared" si="22"/>
        <v>15650.237805301833</v>
      </c>
      <c r="K39" s="3">
        <f t="shared" si="22"/>
        <v>16216.105515128467</v>
      </c>
      <c r="L39" s="3">
        <f t="shared" si="22"/>
        <v>17053.833058938304</v>
      </c>
      <c r="M39" s="3">
        <f t="shared" si="22"/>
        <v>18226.296112434837</v>
      </c>
      <c r="N39" s="3">
        <f t="shared" si="22"/>
        <v>19808.403721919858</v>
      </c>
    </row>
    <row r="40" spans="1:14" x14ac:dyDescent="0.25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23">I40</f>
        <v>3</v>
      </c>
      <c r="K40" s="3">
        <f t="shared" si="23"/>
        <v>3</v>
      </c>
      <c r="L40" s="3">
        <f t="shared" si="23"/>
        <v>3</v>
      </c>
      <c r="M40" s="3">
        <f t="shared" si="23"/>
        <v>3</v>
      </c>
      <c r="N40" s="3">
        <f t="shared" si="23"/>
        <v>3</v>
      </c>
    </row>
    <row r="41" spans="1:14" x14ac:dyDescent="0.25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3845.2378053018338</v>
      </c>
      <c r="K41" s="3">
        <f>K14+K61+K59+J41</f>
        <v>4411.1055151284672</v>
      </c>
      <c r="L41" s="3">
        <f>L14+L61+L59+K41</f>
        <v>5248.8330589383022</v>
      </c>
      <c r="M41" s="3">
        <f>M14+M61+M59+L41</f>
        <v>6421.2961124348367</v>
      </c>
      <c r="N41" s="3">
        <f>N14+N61+N59+M41</f>
        <v>8003.4037219198599</v>
      </c>
    </row>
    <row r="42" spans="1:14" x14ac:dyDescent="0.25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24">J42</f>
        <v>11802</v>
      </c>
      <c r="L42" s="3">
        <f t="shared" si="24"/>
        <v>11802</v>
      </c>
      <c r="M42" s="3">
        <f t="shared" si="24"/>
        <v>11802</v>
      </c>
      <c r="N42" s="3">
        <f t="shared" si="24"/>
        <v>11802</v>
      </c>
    </row>
    <row r="43" spans="1:14" ht="15.75" thickBot="1" x14ac:dyDescent="0.3">
      <c r="A43" s="6" t="s">
        <v>168</v>
      </c>
      <c r="B43" s="7">
        <f>B33+B34+B35+B36+B37+B38+B39</f>
        <v>19466</v>
      </c>
      <c r="C43" s="7">
        <f>C33+C34+C35+C36+C37+C38+C39</f>
        <v>19205</v>
      </c>
      <c r="D43" s="7">
        <f>D33+D34+D35+D36+D37+D38+D39</f>
        <v>21211</v>
      </c>
      <c r="E43" s="7">
        <f>E33+E34+E35+E36+E37+E38+E39</f>
        <v>20257</v>
      </c>
      <c r="F43" s="7">
        <f>F33+F34+F35+F36+F38+F39</f>
        <v>21105</v>
      </c>
      <c r="G43" s="7">
        <f>G33+G34+G35+G36+G37+G38+G39</f>
        <v>29094</v>
      </c>
      <c r="H43" s="7">
        <f>H34+H35+H36+H37+H38+H39</f>
        <v>34605</v>
      </c>
      <c r="I43" s="7">
        <f>I33+I34+I35+I36+I37+I38+I39</f>
        <v>36963</v>
      </c>
      <c r="J43" s="7">
        <f>J33+J34+J35+J36+J37+J38+J39</f>
        <v>37332.237805301833</v>
      </c>
      <c r="K43" s="7">
        <f t="shared" ref="K43:N43" si="25">K33+K34+K35+K36+K37+K38+K39</f>
        <v>37898.105515128467</v>
      </c>
      <c r="L43" s="7">
        <f t="shared" si="25"/>
        <v>38735.833058938304</v>
      </c>
      <c r="M43" s="7">
        <f t="shared" si="25"/>
        <v>39908.296112434837</v>
      </c>
      <c r="N43" s="7">
        <f t="shared" si="25"/>
        <v>41490.403721919858</v>
      </c>
    </row>
    <row r="44" spans="1:14" ht="15.75" thickTop="1" x14ac:dyDescent="0.25">
      <c r="A44" s="54" t="s">
        <v>169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25">
      <c r="A45" s="52" t="s">
        <v>170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2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J7</f>
        <v>6552.545818617652</v>
      </c>
      <c r="K46" s="9">
        <f>K7</f>
        <v>7156.1622953070637</v>
      </c>
      <c r="L46" s="9">
        <f>L7</f>
        <v>7875.5487958238991</v>
      </c>
      <c r="M46" s="9">
        <f>M7</f>
        <v>8731.9325010208686</v>
      </c>
      <c r="N46" s="9">
        <f>N7</f>
        <v>9750.9581771098528</v>
      </c>
    </row>
    <row r="47" spans="1:14" x14ac:dyDescent="0.25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699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6">
        <f>'Segmental forecast'!J8</f>
        <v>1290.4712813823473</v>
      </c>
      <c r="K47" s="56">
        <f>'Segmental forecast'!K8</f>
        <v>1438.4574826929331</v>
      </c>
      <c r="L47" s="56">
        <f>'Segmental forecast'!L8</f>
        <v>1610.7469934160981</v>
      </c>
      <c r="M47" s="56">
        <f>'Segmental forecast'!M8</f>
        <v>1811.7510402383245</v>
      </c>
      <c r="N47" s="56">
        <f>'Segmental forecast'!N8</f>
        <v>2046.7713409784781</v>
      </c>
    </row>
    <row r="48" spans="1:14" x14ac:dyDescent="0.25">
      <c r="A48" t="s">
        <v>171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6">
        <f>J12</f>
        <v>545.11150276867693</v>
      </c>
      <c r="K48" s="56">
        <f t="shared" ref="K48:N48" si="26">K12</f>
        <v>601.14049287467958</v>
      </c>
      <c r="L48" s="56">
        <f t="shared" si="26"/>
        <v>670.53251557489898</v>
      </c>
      <c r="M48" s="56">
        <f t="shared" si="26"/>
        <v>751.35309390296777</v>
      </c>
      <c r="N48" s="56">
        <f t="shared" si="26"/>
        <v>845.60928801978696</v>
      </c>
    </row>
    <row r="49" spans="1:14" x14ac:dyDescent="0.25">
      <c r="A49" s="1" t="s">
        <v>172</v>
      </c>
      <c r="B49" s="9">
        <f t="shared" ref="B49:N49" si="27">B46-B48</f>
        <v>2971</v>
      </c>
      <c r="C49" s="9">
        <f t="shared" si="27"/>
        <v>3894</v>
      </c>
      <c r="D49" s="9">
        <f t="shared" si="27"/>
        <v>4242</v>
      </c>
      <c r="E49" s="9">
        <f t="shared" si="27"/>
        <v>3850</v>
      </c>
      <c r="F49" s="9">
        <f t="shared" si="27"/>
        <v>4093</v>
      </c>
      <c r="G49" s="9">
        <f t="shared" si="27"/>
        <v>1948</v>
      </c>
      <c r="H49" s="9">
        <f t="shared" si="27"/>
        <v>5746</v>
      </c>
      <c r="I49" s="9">
        <f t="shared" si="27"/>
        <v>5625</v>
      </c>
      <c r="J49" s="9">
        <f t="shared" si="27"/>
        <v>6007.4343158489755</v>
      </c>
      <c r="K49" s="9">
        <f t="shared" si="27"/>
        <v>6555.021802432384</v>
      </c>
      <c r="L49" s="9">
        <f t="shared" si="27"/>
        <v>7205.0162802490004</v>
      </c>
      <c r="M49" s="9">
        <f t="shared" si="27"/>
        <v>7980.5794071179007</v>
      </c>
      <c r="N49" s="9">
        <f t="shared" si="27"/>
        <v>8905.3488890900662</v>
      </c>
    </row>
    <row r="50" spans="1:14" x14ac:dyDescent="0.25">
      <c r="A50" t="s">
        <v>173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>K67*K13</f>
        <v>828.36763346833152</v>
      </c>
      <c r="L50" s="3">
        <f>L67*L13</f>
        <v>817.31178977233071</v>
      </c>
      <c r="M50" s="3">
        <f>M67*M13</f>
        <v>822.95256520015539</v>
      </c>
      <c r="N50" s="3">
        <f>N67*N13</f>
        <v>849.80777690156901</v>
      </c>
    </row>
    <row r="51" spans="1:14" x14ac:dyDescent="0.25">
      <c r="A51" t="s">
        <v>174</v>
      </c>
      <c r="B51" s="3">
        <v>113</v>
      </c>
      <c r="C51" s="3">
        <f t="shared" ref="C51:N51" si="28">B23-C23</f>
        <v>-324</v>
      </c>
      <c r="D51" s="3">
        <f t="shared" si="28"/>
        <v>-796</v>
      </c>
      <c r="E51" s="3">
        <f t="shared" si="28"/>
        <v>204</v>
      </c>
      <c r="F51" s="3">
        <f t="shared" si="28"/>
        <v>-802</v>
      </c>
      <c r="G51" s="3">
        <f t="shared" si="28"/>
        <v>-586</v>
      </c>
      <c r="H51" s="3">
        <f t="shared" si="28"/>
        <v>-613</v>
      </c>
      <c r="I51" s="3">
        <f t="shared" si="28"/>
        <v>-1248</v>
      </c>
      <c r="J51" s="3">
        <f t="shared" si="28"/>
        <v>-500.98200000000179</v>
      </c>
      <c r="K51" s="3">
        <f t="shared" si="28"/>
        <v>-1017.6415599999982</v>
      </c>
      <c r="L51" s="3">
        <f t="shared" si="28"/>
        <v>-1182.8198528000012</v>
      </c>
      <c r="M51" s="3">
        <f t="shared" si="28"/>
        <v>-1376.7021228640006</v>
      </c>
      <c r="N51" s="3">
        <f t="shared" si="28"/>
        <v>-1604.9614915983166</v>
      </c>
    </row>
    <row r="52" spans="1:14" x14ac:dyDescent="0.25">
      <c r="A52" s="1" t="s">
        <v>175</v>
      </c>
      <c r="B52" s="9">
        <f>(B47+B49)-(B55-B51)</f>
        <v>4653</v>
      </c>
      <c r="C52" s="9">
        <f>(C47+C49)-(C55-C51)</f>
        <v>5362</v>
      </c>
      <c r="D52" s="9">
        <f>(D47+D49)-(D55-D51)</f>
        <v>5250</v>
      </c>
      <c r="E52" s="9">
        <f>(E47+E49)-(E55-E51)</f>
        <v>5853</v>
      </c>
      <c r="F52" s="9">
        <f>(F47+F49)-(F55-F51)</f>
        <v>5115</v>
      </c>
      <c r="G52" s="9">
        <f>(G47+G49)-(G55-G51)</f>
        <v>3169</v>
      </c>
      <c r="H52" s="9">
        <f>(H47+H49)-(H55-H51)</f>
        <v>6572</v>
      </c>
      <c r="I52" s="9">
        <f>(I47+I49)-(I55-I51)</f>
        <v>5852</v>
      </c>
      <c r="J52" s="9">
        <f>(J47+J49)-(J55-J51)</f>
        <v>7673.9913842488522</v>
      </c>
      <c r="K52" s="9">
        <f>(K47+K49)-(K55-K51)</f>
        <v>7942.8986597080557</v>
      </c>
      <c r="L52" s="9">
        <f>(L47+L49)-(L55-L51)</f>
        <v>8703.2215218402434</v>
      </c>
      <c r="M52" s="9">
        <f>(M47+M49)-(M55-M51)</f>
        <v>9604.4538564008362</v>
      </c>
      <c r="N52" s="9">
        <f>(N47+N49)-(N55-N51)</f>
        <v>10672.3504617781</v>
      </c>
    </row>
    <row r="53" spans="1:14" x14ac:dyDescent="0.25">
      <c r="A53" t="s">
        <v>176</v>
      </c>
      <c r="B53" s="3">
        <f>Historicals!B76-B49-B51-B47</f>
        <v>990</v>
      </c>
      <c r="C53" s="3">
        <f>Historicals!C76-C49-C51-C47</f>
        <v>-1123</v>
      </c>
      <c r="D53" s="3">
        <f>Historicals!D76-D49-D51-D47</f>
        <v>-299</v>
      </c>
      <c r="E53" s="3">
        <f>Historicals!E76-E49-E51-E47</f>
        <v>154</v>
      </c>
      <c r="F53" s="3">
        <f>Historicals!F76-F49-F51-F47</f>
        <v>1907</v>
      </c>
      <c r="G53" s="3">
        <f>Historicals!G76-G49-G51-G47</f>
        <v>402</v>
      </c>
      <c r="H53" s="3">
        <f>Historicals!H76-H49-H51-H47</f>
        <v>780</v>
      </c>
      <c r="I53" s="3">
        <f>Historicals!I76-I49-I51-I47</f>
        <v>94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</row>
    <row r="54" spans="1:14" x14ac:dyDescent="0.25">
      <c r="A54" s="27" t="s">
        <v>177</v>
      </c>
      <c r="B54" s="26">
        <f>B49+B51+B47+B53</f>
        <v>4680</v>
      </c>
      <c r="C54" s="26">
        <f>C49+C51+C47+C53</f>
        <v>3096</v>
      </c>
      <c r="D54" s="26">
        <f>D49+D51+D47+D53</f>
        <v>3846</v>
      </c>
      <c r="E54" s="26">
        <f>E49+E51+E47+E53</f>
        <v>4955</v>
      </c>
      <c r="F54" s="26">
        <f>F49+F51+F47+F53</f>
        <v>5903</v>
      </c>
      <c r="G54" s="26">
        <f>G49+G51+G47+G53</f>
        <v>2485</v>
      </c>
      <c r="H54" s="26">
        <f>H49+H51+H47+H53</f>
        <v>6657</v>
      </c>
      <c r="I54" s="26">
        <f>I49+I51+I47+I53</f>
        <v>5188</v>
      </c>
      <c r="J54" s="26">
        <f>J49+J51+J47+J53</f>
        <v>6796.9235972313209</v>
      </c>
      <c r="K54" s="26">
        <f>K49+K51+K47+K53</f>
        <v>6975.8377251253187</v>
      </c>
      <c r="L54" s="26">
        <f>L49+L51+L47+L53</f>
        <v>7632.9434208650973</v>
      </c>
      <c r="M54" s="26">
        <f>M49+M51+M47+M53</f>
        <v>8415.6283244922251</v>
      </c>
      <c r="N54" s="26">
        <f>N49+N51+N47+N53</f>
        <v>9347.158738470227</v>
      </c>
    </row>
    <row r="55" spans="1:14" x14ac:dyDescent="0.25">
      <c r="A55" t="s">
        <v>135</v>
      </c>
      <c r="B55" s="3">
        <f>'Segmental forecast'!B14*-1</f>
        <v>-963</v>
      </c>
      <c r="C55" s="3">
        <f>'Segmental forecast'!C14*-1</f>
        <v>-1143</v>
      </c>
      <c r="D55" s="3">
        <f>'Segmental forecast'!D14*-1</f>
        <v>-1105</v>
      </c>
      <c r="E55" s="3">
        <f>'Segmental forecast'!E14*-1</f>
        <v>-1052</v>
      </c>
      <c r="F55" s="3">
        <f>'Segmental forecast'!F14*-1</f>
        <v>-1119</v>
      </c>
      <c r="G55" s="3">
        <f>'Segmental forecast'!G14*-1</f>
        <v>-1086</v>
      </c>
      <c r="H55" s="3">
        <f>'Segmental forecast'!H14*-1</f>
        <v>-695</v>
      </c>
      <c r="I55" s="3">
        <f>'Segmental forecast'!I14*-1</f>
        <v>-758</v>
      </c>
      <c r="J55" s="3">
        <f>'Segmental forecast'!J14*-1</f>
        <v>-877.06778701753126</v>
      </c>
      <c r="K55" s="3">
        <f>'Segmental forecast'!K14*-1</f>
        <v>-967.06093458273665</v>
      </c>
      <c r="L55" s="3">
        <f>'Segmental forecast'!L14*-1</f>
        <v>-1070.2781009751459</v>
      </c>
      <c r="M55" s="3">
        <f>'Segmental forecast'!M14*-1</f>
        <v>-1188.8255319086113</v>
      </c>
      <c r="N55" s="3">
        <f>'Segmental forecast'!N14*-1</f>
        <v>-1325.191723307873</v>
      </c>
    </row>
    <row r="56" spans="1:14" x14ac:dyDescent="0.25">
      <c r="A56" t="s">
        <v>178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t="s">
        <v>179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</row>
    <row r="58" spans="1:14" x14ac:dyDescent="0.25">
      <c r="A58" s="27" t="s">
        <v>180</v>
      </c>
      <c r="B58" s="26">
        <f>B57+B56+B55</f>
        <v>-175</v>
      </c>
      <c r="C58" s="26">
        <f>C57+C56+C55</f>
        <v>-1034</v>
      </c>
      <c r="D58" s="26">
        <f>D57+D56+D55</f>
        <v>-1008</v>
      </c>
      <c r="E58" s="26">
        <f>E57+E56+E55</f>
        <v>252</v>
      </c>
      <c r="F58" s="26">
        <f>F57+F56+F55</f>
        <v>-264</v>
      </c>
      <c r="G58" s="26">
        <f>G57+G56+G55</f>
        <v>-1028</v>
      </c>
      <c r="H58" s="26">
        <f>H57+H56+H55</f>
        <v>-3800</v>
      </c>
      <c r="I58" s="26">
        <f>I57+I56+I55</f>
        <v>-1524</v>
      </c>
      <c r="J58" s="76">
        <f>J57+J56+J55-J50</f>
        <v>-1691.5977870175311</v>
      </c>
      <c r="K58" s="76">
        <f>K57+K56+K55-K50</f>
        <v>-1795.4285680510682</v>
      </c>
      <c r="L58" s="76">
        <f>L57+L56+L55-L50</f>
        <v>-1887.5898907474766</v>
      </c>
      <c r="M58" s="76">
        <f>M57+M56+M55-M50</f>
        <v>-2011.7780971087668</v>
      </c>
      <c r="N58" s="76">
        <f>N57+N56+N55-N50</f>
        <v>-2174.999500209442</v>
      </c>
    </row>
    <row r="59" spans="1:14" x14ac:dyDescent="0.25">
      <c r="A59" t="s">
        <v>181</v>
      </c>
      <c r="B59" s="3">
        <f>Historicals!B93+Historicals!B91</f>
        <v>732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29">J59+(J59*K60)</f>
        <v>-3156.4575</v>
      </c>
      <c r="L59" s="3">
        <f t="shared" si="29"/>
        <v>-3314.2803749999998</v>
      </c>
      <c r="M59" s="3">
        <f t="shared" si="29"/>
        <v>-3479.9943937499997</v>
      </c>
      <c r="N59" s="3">
        <f t="shared" si="29"/>
        <v>-3653.9941134374999</v>
      </c>
    </row>
    <row r="60" spans="1:14" x14ac:dyDescent="0.25">
      <c r="A60" s="51" t="s">
        <v>129</v>
      </c>
      <c r="B60" s="57"/>
      <c r="C60" s="57">
        <f t="shared" ref="C60:I60" si="30">+IFERROR(C59/B59-1,"nm")*-1</f>
        <v>4.7308743169398912</v>
      </c>
      <c r="D60" s="57">
        <f t="shared" si="30"/>
        <v>-1.0984987184181616E-3</v>
      </c>
      <c r="E60" s="57">
        <f t="shared" si="30"/>
        <v>-0.28785662033650339</v>
      </c>
      <c r="F60" s="57">
        <f t="shared" si="30"/>
        <v>-1.8460664583924924E-2</v>
      </c>
      <c r="G60" s="57">
        <f t="shared" si="30"/>
        <v>0.39152258784160621</v>
      </c>
      <c r="H60" s="57">
        <f t="shared" si="30"/>
        <v>1.2584784601283228</v>
      </c>
      <c r="I60" s="57">
        <f t="shared" si="30"/>
        <v>6.0762411347517729</v>
      </c>
      <c r="J60" s="57">
        <v>0.05</v>
      </c>
      <c r="K60" s="57">
        <v>0.05</v>
      </c>
      <c r="L60" s="57">
        <v>0.05</v>
      </c>
      <c r="M60" s="57">
        <v>0.05</v>
      </c>
      <c r="N60" s="57">
        <v>0.05</v>
      </c>
    </row>
    <row r="61" spans="1:14" x14ac:dyDescent="0.25">
      <c r="A61" t="s">
        <v>182</v>
      </c>
      <c r="B61" s="3">
        <f>Historicals!B94</f>
        <v>-2534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-1817.516510547141</v>
      </c>
      <c r="K61" s="3">
        <f>K17*K15*-1</f>
        <v>-2004.3289591374185</v>
      </c>
      <c r="L61" s="3">
        <f>L17*L15*-1</f>
        <v>-2235.6965716668342</v>
      </c>
      <c r="M61" s="3">
        <f>M17*M15*-1</f>
        <v>-2505.1693946712103</v>
      </c>
      <c r="N61" s="3">
        <f>N17*N15*-1</f>
        <v>-2819.4393892659737</v>
      </c>
    </row>
    <row r="62" spans="1:14" x14ac:dyDescent="0.25">
      <c r="A62" t="s">
        <v>183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-325</v>
      </c>
      <c r="G62" s="3">
        <f>Historicals!G87+Historicals!G89+Historicals!G90+Historicals!G92+Historicals!G88</f>
        <v>6183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>
        <f>I62</f>
        <v>15</v>
      </c>
      <c r="K62" s="77">
        <f t="shared" ref="K62:N63" si="31">J62</f>
        <v>15</v>
      </c>
      <c r="L62" s="77">
        <f t="shared" si="31"/>
        <v>15</v>
      </c>
      <c r="M62" s="77">
        <f t="shared" si="31"/>
        <v>15</v>
      </c>
      <c r="N62" s="77">
        <f t="shared" si="31"/>
        <v>15</v>
      </c>
    </row>
    <row r="63" spans="1:14" x14ac:dyDescent="0.25">
      <c r="A63" t="s">
        <v>184</v>
      </c>
      <c r="B63" s="3">
        <f>Historicals!B95</f>
        <v>-899</v>
      </c>
      <c r="C63" s="3">
        <f>Historicals!C95</f>
        <v>-22</v>
      </c>
      <c r="D63" s="3">
        <f>Historicals!D95</f>
        <v>-29</v>
      </c>
      <c r="E63" s="3">
        <f>Historicals!E95</f>
        <v>-55</v>
      </c>
      <c r="F63" s="3">
        <f>Historicals!F95</f>
        <v>-50</v>
      </c>
      <c r="G63" s="3">
        <f>Historicals!G95</f>
        <v>-58</v>
      </c>
      <c r="H63" s="3">
        <f>Historicals!H95</f>
        <v>-136</v>
      </c>
      <c r="I63" s="3">
        <f>Historicals!I95</f>
        <v>-151</v>
      </c>
      <c r="J63" s="77">
        <f>I63</f>
        <v>-151</v>
      </c>
      <c r="K63" s="77">
        <f t="shared" si="31"/>
        <v>-151</v>
      </c>
      <c r="L63" s="77">
        <f t="shared" si="31"/>
        <v>-151</v>
      </c>
      <c r="M63" s="77">
        <f t="shared" si="31"/>
        <v>-151</v>
      </c>
      <c r="N63" s="77">
        <f t="shared" si="31"/>
        <v>-151</v>
      </c>
    </row>
    <row r="64" spans="1:14" x14ac:dyDescent="0.25">
      <c r="A64" s="27" t="s">
        <v>185</v>
      </c>
      <c r="B64" s="26">
        <f t="shared" ref="B64:N64" si="32">B59+B61+B62+B63</f>
        <v>-2572</v>
      </c>
      <c r="C64" s="26">
        <f t="shared" si="32"/>
        <v>-2693</v>
      </c>
      <c r="D64" s="26">
        <f t="shared" si="32"/>
        <v>-1971</v>
      </c>
      <c r="E64" s="26">
        <f t="shared" si="32"/>
        <v>-4835</v>
      </c>
      <c r="F64" s="26">
        <f t="shared" si="32"/>
        <v>-5293</v>
      </c>
      <c r="G64" s="26">
        <f t="shared" si="32"/>
        <v>2491</v>
      </c>
      <c r="H64" s="26">
        <f t="shared" si="32"/>
        <v>-1459</v>
      </c>
      <c r="I64" s="26">
        <f t="shared" si="32"/>
        <v>-4836</v>
      </c>
      <c r="J64" s="26">
        <f t="shared" si="32"/>
        <v>-4959.6665105471411</v>
      </c>
      <c r="K64" s="26">
        <f t="shared" si="32"/>
        <v>-5296.7864591374182</v>
      </c>
      <c r="L64" s="26">
        <f t="shared" si="32"/>
        <v>-5685.976946666834</v>
      </c>
      <c r="M64" s="26">
        <f t="shared" si="32"/>
        <v>-6121.1637884212105</v>
      </c>
      <c r="N64" s="26">
        <f t="shared" si="32"/>
        <v>-6609.433502703474</v>
      </c>
    </row>
    <row r="65" spans="1:14" x14ac:dyDescent="0.25">
      <c r="A65" t="s">
        <v>186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25">
      <c r="A66" s="27" t="s">
        <v>187</v>
      </c>
      <c r="B66" s="26">
        <f>B54+B58+B64+B65</f>
        <v>1850</v>
      </c>
      <c r="C66" s="26">
        <f>C54+C58+C64+C65</f>
        <v>-736</v>
      </c>
      <c r="D66" s="26">
        <f>D54+D58+D64+D65</f>
        <v>847</v>
      </c>
      <c r="E66" s="26">
        <f>E54+E58+E64+E65</f>
        <v>417</v>
      </c>
      <c r="F66" s="26">
        <f>F54+F58+F64+F65</f>
        <v>217</v>
      </c>
      <c r="G66" s="26">
        <f>G54+G58+G64+G65</f>
        <v>3882</v>
      </c>
      <c r="H66" s="26">
        <f>H54+H58+H64+H65</f>
        <v>1541</v>
      </c>
      <c r="I66" s="26">
        <f>I54+I58+I64+I65</f>
        <v>-1315</v>
      </c>
      <c r="J66" s="26">
        <f>J54+J58+J64+J65</f>
        <v>145.65929966664862</v>
      </c>
      <c r="K66" s="26">
        <f>K54+K58+K64+K65</f>
        <v>-116.37730206316792</v>
      </c>
      <c r="L66" s="26">
        <f>L54+L58+L64+L65</f>
        <v>59.376583450786711</v>
      </c>
      <c r="M66" s="26">
        <f>M54+M58+M64+M65</f>
        <v>282.68643896224785</v>
      </c>
      <c r="N66" s="26">
        <f>N54+N58+N64+N65</f>
        <v>562.72573555731105</v>
      </c>
    </row>
    <row r="67" spans="1:14" x14ac:dyDescent="0.25">
      <c r="A67" t="s">
        <v>188</v>
      </c>
      <c r="B67" s="3">
        <f>Historicals!B99</f>
        <v>2220</v>
      </c>
      <c r="C67" s="3">
        <f>Historicals!C99</f>
        <v>3852</v>
      </c>
      <c r="D67" s="3">
        <f>Historicals!D99</f>
        <v>3138</v>
      </c>
      <c r="E67" s="3">
        <f>Historicals!E99</f>
        <v>3808</v>
      </c>
      <c r="F67" s="3">
        <f>Historicals!F99</f>
        <v>4249</v>
      </c>
      <c r="G67" s="3">
        <f>Historicals!G99</f>
        <v>4466</v>
      </c>
      <c r="H67" s="3">
        <f>Historicals!H99</f>
        <v>8348</v>
      </c>
      <c r="I67" s="3">
        <f>Historicals!I99</f>
        <v>9889</v>
      </c>
      <c r="J67" s="3">
        <f t="shared" ref="J67:N67" si="33">I68</f>
        <v>8574</v>
      </c>
      <c r="K67" s="3">
        <f t="shared" si="33"/>
        <v>8719.6592996666477</v>
      </c>
      <c r="L67" s="3">
        <f t="shared" si="33"/>
        <v>8603.2819976034807</v>
      </c>
      <c r="M67" s="3">
        <f t="shared" si="33"/>
        <v>8662.6585810542674</v>
      </c>
      <c r="N67" s="3">
        <f t="shared" si="33"/>
        <v>8945.3450200165153</v>
      </c>
    </row>
    <row r="68" spans="1:14" ht="15.75" thickBot="1" x14ac:dyDescent="0.3">
      <c r="A68" s="6" t="s">
        <v>189</v>
      </c>
      <c r="B68" s="7">
        <f>Historicals!B100</f>
        <v>3852</v>
      </c>
      <c r="C68" s="7">
        <f>Historicals!C100</f>
        <v>3138</v>
      </c>
      <c r="D68" s="7">
        <f>Historicals!D100</f>
        <v>3808</v>
      </c>
      <c r="E68" s="7">
        <f>Historicals!E100</f>
        <v>4249</v>
      </c>
      <c r="F68" s="7">
        <f>Historicals!F100</f>
        <v>4466</v>
      </c>
      <c r="G68" s="7">
        <f>Historicals!G100</f>
        <v>8348</v>
      </c>
      <c r="H68" s="7">
        <f>Historicals!H100</f>
        <v>9889</v>
      </c>
      <c r="I68" s="7">
        <f>Historicals!I100</f>
        <v>8574</v>
      </c>
      <c r="J68" s="7">
        <f>J66+J67</f>
        <v>8719.6592996666477</v>
      </c>
      <c r="K68" s="7">
        <f t="shared" ref="K68:N68" si="34">K66+K67</f>
        <v>8603.2819976034807</v>
      </c>
      <c r="L68" s="7">
        <f t="shared" si="34"/>
        <v>8662.6585810542674</v>
      </c>
      <c r="M68" s="7">
        <f t="shared" si="34"/>
        <v>8945.3450200165153</v>
      </c>
      <c r="N68" s="7">
        <f t="shared" si="34"/>
        <v>9508.0707555738263</v>
      </c>
    </row>
    <row r="69" spans="1:14" ht="15.75" thickTop="1" x14ac:dyDescent="0.25">
      <c r="A69" s="1" t="s">
        <v>190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Rupen Shah</cp:lastModifiedBy>
  <dcterms:created xsi:type="dcterms:W3CDTF">2020-05-20T17:26:08Z</dcterms:created>
  <dcterms:modified xsi:type="dcterms:W3CDTF">2024-07-22T15:47:25Z</dcterms:modified>
</cp:coreProperties>
</file>