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Student\Downloads\Investment Banking 2024\"/>
    </mc:Choice>
  </mc:AlternateContent>
  <xr:revisionPtr revIDLastSave="0" documentId="8_{1A3343C1-455C-4202-B3AE-79831E2F3976}" xr6:coauthVersionLast="47" xr6:coauthVersionMax="47" xr10:uidLastSave="{00000000-0000-0000-0000-000000000000}"/>
  <bookViews>
    <workbookView xWindow="-96" yWindow="0" windowWidth="11712" windowHeight="12336" activeTab="1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3" l="1"/>
  <c r="E43" i="3"/>
  <c r="C43" i="3"/>
  <c r="D37" i="3"/>
  <c r="D28" i="3"/>
  <c r="E28" i="3"/>
  <c r="C18" i="3"/>
  <c r="D42" i="3"/>
  <c r="E42" i="3"/>
  <c r="C42" i="3"/>
  <c r="D46" i="3"/>
  <c r="E46" i="3"/>
  <c r="C46" i="3"/>
  <c r="C51" i="3"/>
  <c r="C50" i="3" s="1"/>
  <c r="D50" i="3"/>
  <c r="E50" i="3"/>
  <c r="D51" i="3"/>
  <c r="E51" i="3"/>
  <c r="D31" i="3"/>
  <c r="D30" i="3" s="1"/>
  <c r="C31" i="3"/>
  <c r="C30" i="3" s="1"/>
  <c r="D29" i="3"/>
  <c r="E29" i="3"/>
  <c r="C29" i="3"/>
  <c r="E41" i="3"/>
  <c r="D41" i="3"/>
  <c r="C41" i="3"/>
  <c r="D40" i="3"/>
  <c r="E40" i="3"/>
  <c r="C40" i="3"/>
  <c r="D19" i="3"/>
  <c r="E19" i="3"/>
  <c r="C19" i="3"/>
  <c r="C28" i="3" s="1"/>
  <c r="D27" i="3"/>
  <c r="E27" i="3"/>
  <c r="C27" i="3"/>
  <c r="D26" i="3"/>
  <c r="E26" i="3"/>
  <c r="C26" i="3"/>
  <c r="D25" i="3"/>
  <c r="E25" i="3"/>
  <c r="C25" i="3"/>
  <c r="D47" i="3" l="1"/>
  <c r="E47" i="3"/>
  <c r="C47" i="3"/>
  <c r="D12" i="3"/>
  <c r="E12" i="3"/>
  <c r="C12" i="3"/>
  <c r="D11" i="3"/>
  <c r="E11" i="3"/>
  <c r="C11" i="3"/>
  <c r="D10" i="3"/>
  <c r="E10" i="3"/>
  <c r="C10" i="3"/>
  <c r="D9" i="3"/>
  <c r="E9" i="3"/>
  <c r="C9" i="3"/>
  <c r="D35" i="3"/>
  <c r="E35" i="3"/>
  <c r="C35" i="3"/>
  <c r="D34" i="3"/>
  <c r="E34" i="3"/>
  <c r="C34" i="3"/>
  <c r="D36" i="3"/>
  <c r="E36" i="3"/>
  <c r="C36" i="3"/>
  <c r="D49" i="3"/>
  <c r="E37" i="3"/>
  <c r="E49" i="3" s="1"/>
  <c r="C37" i="3"/>
  <c r="C49" i="3" s="1"/>
  <c r="D22" i="3"/>
  <c r="E22" i="3"/>
  <c r="C22" i="3"/>
  <c r="D21" i="3"/>
  <c r="D48" i="3" s="1"/>
  <c r="E21" i="3"/>
  <c r="E48" i="3" s="1"/>
  <c r="C21" i="3"/>
  <c r="C20" i="3" s="1"/>
  <c r="D18" i="3"/>
  <c r="E18" i="3"/>
  <c r="D17" i="3"/>
  <c r="E17" i="3"/>
  <c r="C17" i="3"/>
  <c r="C13" i="2"/>
  <c r="D13" i="2"/>
  <c r="B13" i="2"/>
  <c r="D14" i="3"/>
  <c r="D13" i="3" s="1"/>
  <c r="E14" i="3"/>
  <c r="E13" i="3" s="1"/>
  <c r="C14" i="3"/>
  <c r="C13" i="3" s="1"/>
  <c r="D8" i="3"/>
  <c r="E8" i="3"/>
  <c r="C8" i="3"/>
  <c r="D6" i="3"/>
  <c r="E6" i="3"/>
  <c r="D5" i="3"/>
  <c r="E5" i="3"/>
  <c r="D7" i="3"/>
  <c r="E7" i="3"/>
  <c r="C7" i="3"/>
  <c r="C6" i="3"/>
  <c r="C5" i="3"/>
  <c r="C48" i="3" l="1"/>
  <c r="E20" i="3"/>
  <c r="D20" i="3"/>
  <c r="B20" i="2"/>
  <c r="B22" i="2" s="1"/>
  <c r="C22" i="2"/>
  <c r="C20" i="2"/>
  <c r="D20" i="2"/>
  <c r="D22" i="2" s="1"/>
  <c r="D15" i="2"/>
  <c r="C15" i="2"/>
  <c r="B15" i="2"/>
  <c r="B16" i="2"/>
  <c r="C16" i="2"/>
  <c r="D16" i="2"/>
  <c r="B90" i="2"/>
  <c r="C90" i="2"/>
  <c r="D90" i="2"/>
  <c r="D88" i="2"/>
  <c r="C88" i="2"/>
  <c r="B88" i="2"/>
  <c r="D25" i="2"/>
  <c r="D24" i="2"/>
  <c r="D28" i="2"/>
  <c r="D27" i="2"/>
  <c r="B69" i="2"/>
  <c r="C69" i="2"/>
  <c r="D69" i="2"/>
  <c r="C62" i="2"/>
  <c r="D62" i="2"/>
  <c r="B62" i="2"/>
  <c r="C61" i="2"/>
  <c r="D61" i="2"/>
  <c r="B61" i="2"/>
  <c r="B48" i="2"/>
  <c r="C48" i="2"/>
  <c r="B47" i="2"/>
  <c r="C47" i="2"/>
  <c r="D48" i="2"/>
  <c r="D47" i="2"/>
  <c r="D46" i="2"/>
  <c r="C46" i="2"/>
  <c r="B46" i="2"/>
  <c r="B56" i="2"/>
  <c r="C56" i="2"/>
  <c r="D56" i="2"/>
  <c r="B42" i="2"/>
  <c r="C42" i="2"/>
  <c r="D42" i="2"/>
  <c r="B8" i="2"/>
  <c r="C8" i="2"/>
  <c r="D8" i="2"/>
  <c r="C25" i="2"/>
  <c r="C24" i="2"/>
  <c r="B25" i="2"/>
  <c r="B24" i="2"/>
  <c r="C27" i="2"/>
  <c r="C28" i="2"/>
  <c r="B27" i="2"/>
  <c r="B28" i="2"/>
  <c r="C18" i="2"/>
  <c r="B18" i="2"/>
  <c r="A47" i="3" l="1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<sst xmlns="http://schemas.openxmlformats.org/spreadsheetml/2006/main" count="175" uniqueCount="153">
  <si>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</si>
  <si>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</si>
  <si>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</si>
  <si>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</si>
  <si>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</si>
  <si>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</si>
  <si>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</si>
  <si>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</si>
  <si>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</si>
  <si>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</si>
  <si>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</si>
  <si>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</si>
  <si>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</si>
  <si>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</si>
  <si>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</si>
  <si>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</si>
  <si>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</si>
  <si>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</si>
  <si>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</si>
  <si>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</si>
  <si>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</si>
  <si>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</si>
  <si>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</si>
  <si>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</si>
  <si>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</si>
  <si>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</si>
  <si>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</si>
  <si>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</si>
  <si>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</si>
  <si>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</si>
  <si>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</si>
  <si>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</si>
  <si>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</si>
  <si>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</si>
  <si>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</si>
  <si>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</si>
  <si>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</si>
  <si>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</si>
  <si>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</si>
  <si>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</si>
  <si>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</si>
  <si>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</si>
  <si>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</si>
  <si>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</si>
  <si>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</si>
  <si>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</si>
  <si>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</si>
  <si>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</si>
  <si>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</si>
  <si>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</si>
  <si>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</si>
  <si>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</si>
  <si>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</si>
  <si>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</si>
  <si>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</si>
  <si>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</si>
  <si>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</si>
  <si>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 xml:space="preserve">Years ended </t>
  </si>
  <si>
    <t xml:space="preserve">As at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</si>
  <si>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</si>
  <si>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</si>
  <si>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</si>
  <si>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</si>
  <si>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</si>
  <si>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Net Sales:</t>
  </si>
  <si>
    <t xml:space="preserve">Products </t>
  </si>
  <si>
    <t>Services</t>
  </si>
  <si>
    <t>Cost of Sales:</t>
  </si>
  <si>
    <t xml:space="preserve">Total Cost of Sales </t>
  </si>
  <si>
    <t>Gross Margin</t>
  </si>
  <si>
    <t>Research and Development</t>
  </si>
  <si>
    <t>Total Operating Expenses</t>
  </si>
  <si>
    <t xml:space="preserve">Selling, General and Administrative </t>
  </si>
  <si>
    <t>Operating Expenses:</t>
  </si>
  <si>
    <t xml:space="preserve">Operating Income </t>
  </si>
  <si>
    <t>Total Net Sales (Revenue)</t>
  </si>
  <si>
    <t>Other income/(expense),Net</t>
  </si>
  <si>
    <t>Income before Provision for Income Taxes</t>
  </si>
  <si>
    <t>Provision for Income Taxes</t>
  </si>
  <si>
    <t>Net Income:</t>
  </si>
  <si>
    <t>Earnings Per Share:</t>
  </si>
  <si>
    <t xml:space="preserve">Basic </t>
  </si>
  <si>
    <t>Diluted</t>
  </si>
  <si>
    <t>Shares Used in Computing Earning Per Share</t>
  </si>
  <si>
    <t>Current Assets:</t>
  </si>
  <si>
    <t>Cash and Cash Equilvalents</t>
  </si>
  <si>
    <t xml:space="preserve">Marketable Sercurities </t>
  </si>
  <si>
    <t>Accounts Receivable, Net</t>
  </si>
  <si>
    <t>Inventories</t>
  </si>
  <si>
    <t>Vendor non trade receivables</t>
  </si>
  <si>
    <t>Other current assets</t>
  </si>
  <si>
    <t>Total current assets</t>
  </si>
  <si>
    <t>Non current assets:</t>
  </si>
  <si>
    <t>Marketable securities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</si>
  <si>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</si>
  <si>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</si>
  <si>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</si>
  <si>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</si>
  <si>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</si>
  <si>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</si>
  <si>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</si>
  <si>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</si>
  <si>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</si>
  <si>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</si>
  <si>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</si>
  <si>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</si>
  <si>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</si>
  <si>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</si>
  <si>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</si>
  <si>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</si>
  <si>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</si>
  <si>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</si>
  <si>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</si>
  <si>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</si>
  <si>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Common stock and additional paid in capital, $0.00001 par value:</t>
  </si>
  <si>
    <t>Cash, cash equivalents and restricted cash, beginning balances</t>
  </si>
  <si>
    <t>Other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</si>
  <si>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</si>
  <si>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</si>
  <si>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</si>
  <si>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</si>
  <si>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 xml:space="preserve">Deferred Income Tax Expense/ (Benefit) </t>
  </si>
  <si>
    <t xml:space="preserve">   Net Income</t>
  </si>
  <si>
    <t>Changes in Operating Assets and Liabilities:</t>
  </si>
  <si>
    <t xml:space="preserve">Account Receivable, Net </t>
  </si>
  <si>
    <t xml:space="preserve">Inventories </t>
  </si>
  <si>
    <t xml:space="preserve">Vendor Non Trade Receivables </t>
  </si>
  <si>
    <t>Other Current and Non Current Assets</t>
  </si>
  <si>
    <t>Accounts Payables Deffereed Revenue</t>
  </si>
  <si>
    <t>Cash Generated by Operating Activites</t>
  </si>
  <si>
    <t>Investing Activities:</t>
  </si>
  <si>
    <t xml:space="preserve">Purchase of Market Sercuritites </t>
  </si>
  <si>
    <t xml:space="preserve">Proceeds from Maturities of Marketable Sercurities </t>
  </si>
  <si>
    <t>Proceeds from Sales of Marketable Sercurities</t>
  </si>
  <si>
    <t>Payments for Acquisition or Property,Plant and Equipment</t>
  </si>
  <si>
    <t xml:space="preserve">Payments made in connection with Business Acquisitions </t>
  </si>
  <si>
    <t xml:space="preserve">Other </t>
  </si>
  <si>
    <t xml:space="preserve">Cash Generated by / (Used in) Investing Activities </t>
  </si>
  <si>
    <t xml:space="preserve">Financing Activities: </t>
  </si>
  <si>
    <t>Payments for Taxes related to Net Share settlement of Equity Awards</t>
  </si>
  <si>
    <t xml:space="preserve">Payments for Dividends and Dividend Equivalents </t>
  </si>
  <si>
    <t xml:space="preserve">Repurchases of Common Stock </t>
  </si>
  <si>
    <t>Proceeds from Issuance of Term Debt, Net</t>
  </si>
  <si>
    <t>Repayments of Term Debts</t>
  </si>
  <si>
    <t>Proceeds from/(Repayments of) Commercial Paper, Net</t>
  </si>
  <si>
    <t xml:space="preserve">Cash used in Financing Activities </t>
  </si>
  <si>
    <t xml:space="preserve">Increase/ (Decrease) in Cash Cash Equivalents and Restricted </t>
  </si>
  <si>
    <t xml:space="preserve">Cash, Cash Equivalents and Restricted Cash Ending Balances </t>
  </si>
  <si>
    <t>Supplemental Cash Flow Disclosure:</t>
  </si>
  <si>
    <t>Cash paid for Income Taxes, Net</t>
  </si>
  <si>
    <t>Cash paid for Interest</t>
  </si>
  <si>
    <t>-</t>
  </si>
  <si>
    <t xml:space="preserve">Average Stock Price value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</si>
</sst>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00"/>
    <numFmt numFmtId="168" formatCode="0.0000"/>
    <numFmt numFmtId="169" formatCode="0.000"/>
    <numFmt numFmtId="170" formatCode="_(* #,##0.000_);_(* \(#,##0.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5" fontId="2" fillId="0" borderId="0" xfId="1" applyNumberFormat="1" applyFont="1"/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0" fillId="5" borderId="0" xfId="0" applyFill="1" applyAlignment="1">
      <alignment horizontal="left" indent="1"/>
    </xf>
    <xf numFmtId="165" fontId="0" fillId="0" borderId="0" xfId="0" applyNumberFormat="1"/>
    <xf numFmtId="165" fontId="2" fillId="0" borderId="1" xfId="1" applyNumberFormat="1" applyFont="1" applyFill="1" applyBorder="1"/>
    <xf numFmtId="165" fontId="0" fillId="0" borderId="0" xfId="1" applyNumberFormat="1" applyFont="1" applyFill="1"/>
    <xf numFmtId="165" fontId="2" fillId="0" borderId="2" xfId="1" applyNumberFormat="1" applyFont="1" applyFill="1" applyBorder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164" fontId="0" fillId="0" borderId="0" xfId="1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9" fontId="0" fillId="6" borderId="0" xfId="0" applyNumberFormat="1" applyFill="1"/>
    <xf numFmtId="170" fontId="0" fillId="6" borderId="0" xfId="0" applyNumberFormat="1" applyFill="1"/>
    <xf numFmtId="168" fontId="0" fillId="6" borderId="0" xfId="0" applyNumberFormat="1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5" sqref="A5"/>
    </sheetView>
  </sheetViews>
  <sheetFormatPr defaultRowHeight="14.4" x14ac:dyDescent="0.3"/>
  <cols>
    <col min="1" max="1" width="157.88671875" style="2" customWidth="1"/>
  </cols>
  <sheetData>
    <row r="1" spans="1:1" ht="23.4" x14ac:dyDescent="0.45">
      <c r="A1" s="3" t="s">
        <v>0</v>
      </c>
    </row>
    <row r="3" spans="1:1" x14ac:dyDescent="0.3">
      <c r="A3" s="2" t="s">
        <v>63</v>
      </c>
    </row>
    <row r="4" spans="1:1" x14ac:dyDescent="0.3">
      <c r="A4" s="5" t="s">
        <v>5</v>
      </c>
    </row>
    <row r="5" spans="1:1" x14ac:dyDescent="0.3">
      <c r="A5" s="6" t="s">
        <v>1</v>
      </c>
    </row>
    <row r="7" spans="1:1" x14ac:dyDescent="0.3">
      <c r="A7" s="2" t="s">
        <v>61</v>
      </c>
    </row>
    <row r="8" spans="1:1" x14ac:dyDescent="0.3">
      <c r="A8" s="2" t="s">
        <v>62</v>
      </c>
    </row>
    <row r="9" spans="1:1" ht="28.8" x14ac:dyDescent="0.3">
      <c r="A9" s="2" t="s">
        <v>2</v>
      </c>
    </row>
    <row r="10" spans="1:1" x14ac:dyDescent="0.3">
      <c r="A10" s="2" t="s">
        <v>6</v>
      </c>
    </row>
    <row r="11" spans="1:1" x14ac:dyDescent="0.3">
      <c r="A11" s="2" t="s">
        <v>4</v>
      </c>
    </row>
    <row r="13" spans="1:1" x14ac:dyDescent="0.3">
      <c r="A13" s="4" t="s">
        <v>3</v>
      </c>
    </row>
    <row r="14" spans="1:1" x14ac:dyDescent="0.3">
      <c r="A14" s="2" t="s">
        <v>7</v>
      </c>
    </row>
    <row r="15" spans="1:1" x14ac:dyDescent="0.3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3"/>
  <sheetViews>
    <sheetView tabSelected="1" topLeftCell="A23" workbookViewId="0">
      <selection activeCell="A35" sqref="A24:D35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7" t="s">
        <v>56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3">
      <c r="A2" s="35" t="s">
        <v>10</v>
      </c>
      <c r="B2" s="35"/>
      <c r="C2" s="35"/>
      <c r="D2" s="35"/>
    </row>
    <row r="3" spans="1:10" x14ac:dyDescent="0.3">
      <c r="B3" s="34" t="s">
        <v>57</v>
      </c>
      <c r="C3" s="34"/>
      <c r="D3" s="34"/>
    </row>
    <row r="4" spans="1:10" x14ac:dyDescent="0.3">
      <c r="B4" s="9">
        <v>2019</v>
      </c>
      <c r="C4" s="9">
        <v>2018</v>
      </c>
      <c r="D4" s="9">
        <v>2017</v>
      </c>
    </row>
    <row r="5" spans="1:10" x14ac:dyDescent="0.3">
      <c r="A5" t="s">
        <v>64</v>
      </c>
    </row>
    <row r="6" spans="1:10" x14ac:dyDescent="0.3">
      <c r="A6" s="1" t="s">
        <v>65</v>
      </c>
      <c r="B6" s="10">
        <v>160408</v>
      </c>
      <c r="C6" s="10">
        <v>141915</v>
      </c>
      <c r="D6" s="10">
        <v>118573</v>
      </c>
    </row>
    <row r="7" spans="1:10" x14ac:dyDescent="0.3">
      <c r="A7" s="1" t="s">
        <v>66</v>
      </c>
      <c r="B7" s="10">
        <v>120114</v>
      </c>
      <c r="C7" s="10">
        <v>90972</v>
      </c>
      <c r="D7" s="10">
        <v>59293</v>
      </c>
    </row>
    <row r="8" spans="1:10" x14ac:dyDescent="0.3">
      <c r="A8" s="11" t="s">
        <v>75</v>
      </c>
      <c r="B8" s="12">
        <f>B6+B7</f>
        <v>280522</v>
      </c>
      <c r="C8" s="12">
        <f>C6+C7</f>
        <v>232887</v>
      </c>
      <c r="D8" s="12">
        <f>D6+D7</f>
        <v>177866</v>
      </c>
    </row>
    <row r="9" spans="1:10" x14ac:dyDescent="0.3">
      <c r="A9" t="s">
        <v>67</v>
      </c>
      <c r="B9" s="10"/>
      <c r="C9" s="10"/>
      <c r="D9" s="10"/>
    </row>
    <row r="10" spans="1:10" x14ac:dyDescent="0.3">
      <c r="A10" s="1" t="s">
        <v>65</v>
      </c>
      <c r="B10" s="10"/>
      <c r="C10" s="10"/>
      <c r="D10" s="10"/>
    </row>
    <row r="11" spans="1:10" x14ac:dyDescent="0.3">
      <c r="A11" s="1" t="s">
        <v>66</v>
      </c>
      <c r="B11" s="10"/>
      <c r="C11" s="10"/>
      <c r="D11" s="10"/>
    </row>
    <row r="12" spans="1:10" x14ac:dyDescent="0.3">
      <c r="A12" s="11" t="s">
        <v>68</v>
      </c>
      <c r="B12" s="12">
        <v>165536</v>
      </c>
      <c r="C12" s="12">
        <v>139156</v>
      </c>
      <c r="D12" s="12">
        <v>111934</v>
      </c>
    </row>
    <row r="13" spans="1:10" x14ac:dyDescent="0.3">
      <c r="A13" s="11" t="s">
        <v>69</v>
      </c>
      <c r="B13" s="12">
        <f>B8-B12</f>
        <v>114986</v>
      </c>
      <c r="C13" s="12">
        <f t="shared" ref="C13:D13" si="0">C8-C12</f>
        <v>93731</v>
      </c>
      <c r="D13" s="12">
        <f t="shared" si="0"/>
        <v>65932</v>
      </c>
    </row>
    <row r="14" spans="1:10" x14ac:dyDescent="0.3">
      <c r="A14" t="s">
        <v>73</v>
      </c>
      <c r="B14" s="10"/>
      <c r="C14" s="10"/>
      <c r="D14" s="10"/>
    </row>
    <row r="15" spans="1:10" x14ac:dyDescent="0.3">
      <c r="A15" s="1" t="s">
        <v>70</v>
      </c>
      <c r="B15" s="10">
        <f>40232+35931</f>
        <v>76163</v>
      </c>
      <c r="C15" s="10">
        <f>28837+34027</f>
        <v>62864</v>
      </c>
      <c r="D15" s="10">
        <f>22620+25249</f>
        <v>47869</v>
      </c>
    </row>
    <row r="16" spans="1:10" x14ac:dyDescent="0.3">
      <c r="A16" s="1" t="s">
        <v>72</v>
      </c>
      <c r="B16" s="10">
        <f>201+5203+18878</f>
        <v>24282</v>
      </c>
      <c r="C16" s="10">
        <f>296+4336+13814</f>
        <v>18446</v>
      </c>
      <c r="D16" s="10">
        <f>3674+10069+214</f>
        <v>13957</v>
      </c>
    </row>
    <row r="17" spans="1:8" x14ac:dyDescent="0.3">
      <c r="A17" s="11" t="s">
        <v>71</v>
      </c>
      <c r="B17" s="12">
        <v>265981</v>
      </c>
      <c r="C17" s="12">
        <v>220466</v>
      </c>
      <c r="D17" s="12">
        <v>173760</v>
      </c>
      <c r="F17" s="25"/>
      <c r="G17" s="25"/>
      <c r="H17" s="25"/>
    </row>
    <row r="18" spans="1:8" s="11" customFormat="1" x14ac:dyDescent="0.3">
      <c r="A18" s="11" t="s">
        <v>74</v>
      </c>
      <c r="B18" s="12">
        <f>4420+3084+3157+3879</f>
        <v>14540</v>
      </c>
      <c r="C18" s="12">
        <f>1927+2983+3724+3786</f>
        <v>12420</v>
      </c>
      <c r="D18" s="12">
        <v>4106</v>
      </c>
    </row>
    <row r="19" spans="1:8" x14ac:dyDescent="0.3">
      <c r="A19" t="s">
        <v>76</v>
      </c>
      <c r="B19" s="10"/>
      <c r="C19" s="10"/>
      <c r="D19" s="10"/>
    </row>
    <row r="20" spans="1:8" x14ac:dyDescent="0.3">
      <c r="A20" s="11" t="s">
        <v>77</v>
      </c>
      <c r="B20" s="12">
        <f>4401+2889+2632+4054-14</f>
        <v>13962</v>
      </c>
      <c r="C20" s="12">
        <f>1916+2605+3390+3350+9</f>
        <v>11270</v>
      </c>
      <c r="D20" s="26">
        <f>3806-4</f>
        <v>3802</v>
      </c>
    </row>
    <row r="21" spans="1:8" x14ac:dyDescent="0.3">
      <c r="A21" s="9" t="s">
        <v>78</v>
      </c>
      <c r="B21" s="10">
        <v>-2374</v>
      </c>
      <c r="C21" s="10">
        <v>-1197</v>
      </c>
      <c r="D21" s="27">
        <v>-769</v>
      </c>
    </row>
    <row r="22" spans="1:8" ht="15" thickBot="1" x14ac:dyDescent="0.35">
      <c r="A22" s="13" t="s">
        <v>79</v>
      </c>
      <c r="B22" s="28">
        <f t="shared" ref="B22:C22" si="1">B21+B20</f>
        <v>11588</v>
      </c>
      <c r="C22" s="28">
        <f t="shared" si="1"/>
        <v>10073</v>
      </c>
      <c r="D22" s="28">
        <f>D21+D20</f>
        <v>3033</v>
      </c>
      <c r="E22" s="25"/>
    </row>
    <row r="23" spans="1:8" ht="15" thickTop="1" x14ac:dyDescent="0.3">
      <c r="A23" s="9" t="s">
        <v>80</v>
      </c>
    </row>
    <row r="24" spans="1:8" x14ac:dyDescent="0.3">
      <c r="A24" s="1" t="s">
        <v>81</v>
      </c>
      <c r="B24" s="15">
        <f>7.24+5.32+4.31+6.58</f>
        <v>23.450000000000003</v>
      </c>
      <c r="C24" s="15">
        <f>3.36+5.21+5.91+6.18</f>
        <v>20.66</v>
      </c>
      <c r="D24" s="15">
        <f>1.52+0.41+0.53+3.85</f>
        <v>6.3100000000000005</v>
      </c>
    </row>
    <row r="25" spans="1:8" x14ac:dyDescent="0.3">
      <c r="A25" s="1" t="s">
        <v>82</v>
      </c>
      <c r="B25" s="15">
        <f>7.09+5.22+4.23+6.47</f>
        <v>23.009999999999998</v>
      </c>
      <c r="C25" s="15">
        <f>3.27+5.07+5.75+6.04</f>
        <v>20.13</v>
      </c>
      <c r="D25" s="15">
        <f>1.48+0.4+0.52+3.75</f>
        <v>6.15</v>
      </c>
    </row>
    <row r="26" spans="1:8" x14ac:dyDescent="0.3">
      <c r="A26" s="9" t="s">
        <v>83</v>
      </c>
    </row>
    <row r="27" spans="1:8" x14ac:dyDescent="0.3">
      <c r="A27" s="1" t="s">
        <v>81</v>
      </c>
      <c r="B27" s="16">
        <f>491+493+495+496</f>
        <v>1975</v>
      </c>
      <c r="C27" s="16">
        <f>484+486+488+490</f>
        <v>1948</v>
      </c>
      <c r="D27" s="16">
        <f>477+479+481+483</f>
        <v>1920</v>
      </c>
    </row>
    <row r="28" spans="1:8" x14ac:dyDescent="0.3">
      <c r="A28" s="1" t="s">
        <v>82</v>
      </c>
      <c r="B28" s="16">
        <f>502+503+504+505</f>
        <v>2014</v>
      </c>
      <c r="C28" s="16">
        <f>498+500+501+501</f>
        <v>2000</v>
      </c>
      <c r="D28" s="16">
        <f>490+492+494+496</f>
        <v>1972</v>
      </c>
    </row>
    <row r="31" spans="1:8" x14ac:dyDescent="0.3">
      <c r="A31" s="35" t="s">
        <v>12</v>
      </c>
      <c r="B31" s="35"/>
      <c r="C31" s="35"/>
      <c r="D31" s="35"/>
    </row>
    <row r="32" spans="1:8" x14ac:dyDescent="0.3">
      <c r="B32" s="34" t="s">
        <v>58</v>
      </c>
      <c r="C32" s="34"/>
      <c r="D32" s="34"/>
    </row>
    <row r="33" spans="1:4" x14ac:dyDescent="0.3">
      <c r="B33" s="9">
        <v>2019</v>
      </c>
      <c r="C33" s="9">
        <v>2018</v>
      </c>
      <c r="D33" s="9">
        <v>2017</v>
      </c>
    </row>
    <row r="35" spans="1:4" x14ac:dyDescent="0.3">
      <c r="A35" t="s">
        <v>84</v>
      </c>
    </row>
    <row r="36" spans="1:4" x14ac:dyDescent="0.3">
      <c r="A36" t="s">
        <v>85</v>
      </c>
      <c r="B36" s="10">
        <v>36092</v>
      </c>
      <c r="C36" s="10">
        <v>31750</v>
      </c>
      <c r="D36" s="10">
        <v>20522</v>
      </c>
    </row>
    <row r="37" spans="1:4" x14ac:dyDescent="0.3">
      <c r="A37" s="1" t="s">
        <v>86</v>
      </c>
      <c r="B37" s="10">
        <v>18929</v>
      </c>
      <c r="C37" s="10">
        <v>9500</v>
      </c>
      <c r="D37" s="10">
        <v>10464</v>
      </c>
    </row>
    <row r="38" spans="1:4" x14ac:dyDescent="0.3">
      <c r="A38" s="1" t="s">
        <v>87</v>
      </c>
      <c r="B38" s="10">
        <v>20816</v>
      </c>
      <c r="C38" s="10">
        <v>16677</v>
      </c>
      <c r="D38" s="10">
        <v>13164</v>
      </c>
    </row>
    <row r="39" spans="1:4" x14ac:dyDescent="0.3">
      <c r="A39" s="1" t="s">
        <v>88</v>
      </c>
      <c r="B39" s="10">
        <v>20497</v>
      </c>
      <c r="C39" s="10">
        <v>17174</v>
      </c>
      <c r="D39" s="10">
        <v>16047</v>
      </c>
    </row>
    <row r="40" spans="1:4" x14ac:dyDescent="0.3">
      <c r="A40" s="1" t="s">
        <v>89</v>
      </c>
      <c r="B40" s="10" t="s">
        <v>151</v>
      </c>
      <c r="C40" s="10" t="s">
        <v>151</v>
      </c>
      <c r="D40" s="10" t="s">
        <v>151</v>
      </c>
    </row>
    <row r="41" spans="1:4" x14ac:dyDescent="0.3">
      <c r="A41" s="1" t="s">
        <v>90</v>
      </c>
      <c r="B41" s="10" t="s">
        <v>151</v>
      </c>
      <c r="C41" s="10" t="s">
        <v>151</v>
      </c>
      <c r="D41" s="10" t="s">
        <v>151</v>
      </c>
    </row>
    <row r="42" spans="1:4" x14ac:dyDescent="0.3">
      <c r="A42" s="11" t="s">
        <v>91</v>
      </c>
      <c r="B42" s="12">
        <f t="shared" ref="B42:C42" si="2">B39+B38+B37+B36</f>
        <v>96334</v>
      </c>
      <c r="C42" s="12">
        <f t="shared" si="2"/>
        <v>75101</v>
      </c>
      <c r="D42" s="12">
        <f>D39+D38+D37+D36</f>
        <v>60197</v>
      </c>
    </row>
    <row r="43" spans="1:4" x14ac:dyDescent="0.3">
      <c r="A43" t="s">
        <v>92</v>
      </c>
      <c r="B43" s="10"/>
      <c r="C43" s="10"/>
      <c r="D43" s="10"/>
    </row>
    <row r="44" spans="1:4" x14ac:dyDescent="0.3">
      <c r="A44" s="1" t="s">
        <v>93</v>
      </c>
      <c r="B44" s="10"/>
      <c r="C44" s="10"/>
      <c r="D44" s="10"/>
    </row>
    <row r="45" spans="1:4" x14ac:dyDescent="0.3">
      <c r="A45" s="1" t="s">
        <v>94</v>
      </c>
      <c r="B45" s="10">
        <v>72705</v>
      </c>
      <c r="C45" s="10">
        <v>61797</v>
      </c>
      <c r="D45" s="10">
        <v>48866</v>
      </c>
    </row>
    <row r="46" spans="1:4" x14ac:dyDescent="0.3">
      <c r="A46" s="1" t="s">
        <v>95</v>
      </c>
      <c r="B46" s="10">
        <f>25141+14754+16314</f>
        <v>56209</v>
      </c>
      <c r="C46" s="10">
        <f>14548+11202</f>
        <v>25750</v>
      </c>
      <c r="D46" s="10">
        <f>13350+8897</f>
        <v>22247</v>
      </c>
    </row>
    <row r="47" spans="1:4" x14ac:dyDescent="0.3">
      <c r="A47" s="11" t="s">
        <v>96</v>
      </c>
      <c r="B47" s="12">
        <f t="shared" ref="B47:C47" si="3">B46+B45</f>
        <v>128914</v>
      </c>
      <c r="C47" s="12">
        <f t="shared" si="3"/>
        <v>87547</v>
      </c>
      <c r="D47" s="12">
        <f>D46+D45</f>
        <v>71113</v>
      </c>
    </row>
    <row r="48" spans="1:4" ht="15" thickBot="1" x14ac:dyDescent="0.35">
      <c r="A48" s="13" t="s">
        <v>97</v>
      </c>
      <c r="B48" s="14">
        <f t="shared" ref="B48:C48" si="4">B42+B47</f>
        <v>225248</v>
      </c>
      <c r="C48" s="14">
        <f t="shared" si="4"/>
        <v>162648</v>
      </c>
      <c r="D48" s="14">
        <f>D42+D47</f>
        <v>131310</v>
      </c>
    </row>
    <row r="49" spans="1:4" ht="15" thickTop="1" x14ac:dyDescent="0.3"/>
    <row r="50" spans="1:4" x14ac:dyDescent="0.3">
      <c r="A50" t="s">
        <v>98</v>
      </c>
    </row>
    <row r="51" spans="1:4" x14ac:dyDescent="0.3">
      <c r="A51" s="1" t="s">
        <v>99</v>
      </c>
      <c r="B51" s="10">
        <v>47183</v>
      </c>
      <c r="C51" s="10">
        <v>38192</v>
      </c>
      <c r="D51" s="10">
        <v>34616</v>
      </c>
    </row>
    <row r="52" spans="1:4" x14ac:dyDescent="0.3">
      <c r="A52" s="1" t="s">
        <v>100</v>
      </c>
      <c r="B52" s="10">
        <v>32439</v>
      </c>
      <c r="C52" s="10">
        <v>23663</v>
      </c>
      <c r="D52" s="10">
        <v>18170</v>
      </c>
    </row>
    <row r="53" spans="1:4" x14ac:dyDescent="0.3">
      <c r="A53" s="1" t="s">
        <v>101</v>
      </c>
      <c r="B53" s="10">
        <v>8190</v>
      </c>
      <c r="C53" s="10">
        <v>6536</v>
      </c>
      <c r="D53" s="10">
        <v>5097</v>
      </c>
    </row>
    <row r="54" spans="1:4" x14ac:dyDescent="0.3">
      <c r="A54" s="1" t="s">
        <v>102</v>
      </c>
      <c r="B54" s="10"/>
      <c r="C54" s="10"/>
      <c r="D54" s="10"/>
    </row>
    <row r="55" spans="1:4" x14ac:dyDescent="0.3">
      <c r="A55" s="1" t="s">
        <v>103</v>
      </c>
      <c r="B55" s="10"/>
      <c r="C55" s="10"/>
      <c r="D55" s="10"/>
    </row>
    <row r="56" spans="1:4" x14ac:dyDescent="0.3">
      <c r="A56" s="11" t="s">
        <v>104</v>
      </c>
      <c r="B56" s="12">
        <f t="shared" ref="B56:C56" si="5">B53+B52+B51</f>
        <v>87812</v>
      </c>
      <c r="C56" s="12">
        <f t="shared" si="5"/>
        <v>68391</v>
      </c>
      <c r="D56" s="12">
        <f>D53+D52+D51</f>
        <v>57883</v>
      </c>
    </row>
    <row r="57" spans="1:4" x14ac:dyDescent="0.3">
      <c r="A57" t="s">
        <v>105</v>
      </c>
      <c r="B57" s="10"/>
      <c r="C57" s="10"/>
      <c r="D57" s="10"/>
    </row>
    <row r="58" spans="1:4" x14ac:dyDescent="0.3">
      <c r="A58" s="1" t="s">
        <v>101</v>
      </c>
      <c r="B58" s="10"/>
      <c r="C58" s="10"/>
      <c r="D58" s="10"/>
    </row>
    <row r="59" spans="1:4" x14ac:dyDescent="0.3">
      <c r="A59" s="1" t="s">
        <v>103</v>
      </c>
      <c r="B59" s="10">
        <v>23414</v>
      </c>
      <c r="C59" s="10">
        <v>23495</v>
      </c>
      <c r="D59" s="10">
        <v>24743</v>
      </c>
    </row>
    <row r="60" spans="1:4" x14ac:dyDescent="0.3">
      <c r="A60" s="1" t="s">
        <v>106</v>
      </c>
      <c r="B60" s="10">
        <v>12171</v>
      </c>
      <c r="C60" s="10">
        <v>17563</v>
      </c>
      <c r="D60" s="10">
        <v>20975</v>
      </c>
    </row>
    <row r="61" spans="1:4" x14ac:dyDescent="0.3">
      <c r="A61" s="23" t="s">
        <v>107</v>
      </c>
      <c r="B61" s="10">
        <f>B60+B59</f>
        <v>35585</v>
      </c>
      <c r="C61" s="10">
        <f t="shared" ref="C61:D61" si="6">C60+C59</f>
        <v>41058</v>
      </c>
      <c r="D61" s="10">
        <f t="shared" si="6"/>
        <v>45718</v>
      </c>
    </row>
    <row r="62" spans="1:4" x14ac:dyDescent="0.3">
      <c r="A62" s="11" t="s">
        <v>108</v>
      </c>
      <c r="B62" s="12">
        <f>B61+B56</f>
        <v>123397</v>
      </c>
      <c r="C62" s="12">
        <f t="shared" ref="C62:D62" si="7">C61+C56</f>
        <v>109449</v>
      </c>
      <c r="D62" s="12">
        <f t="shared" si="7"/>
        <v>103601</v>
      </c>
    </row>
    <row r="63" spans="1:4" x14ac:dyDescent="0.3">
      <c r="B63" s="10"/>
      <c r="C63" s="10"/>
      <c r="D63" s="10"/>
    </row>
    <row r="64" spans="1:4" x14ac:dyDescent="0.3">
      <c r="A64" t="s">
        <v>109</v>
      </c>
      <c r="B64" s="10"/>
      <c r="C64" s="10"/>
      <c r="D64" s="10"/>
    </row>
    <row r="65" spans="1:4" x14ac:dyDescent="0.3">
      <c r="A65" s="24" t="s">
        <v>114</v>
      </c>
      <c r="B65" s="10"/>
      <c r="C65" s="10"/>
      <c r="D65" s="10"/>
    </row>
    <row r="66" spans="1:4" x14ac:dyDescent="0.3">
      <c r="A66" s="1" t="s">
        <v>110</v>
      </c>
      <c r="B66" s="10">
        <v>31220</v>
      </c>
      <c r="C66" s="10">
        <v>19625</v>
      </c>
      <c r="D66" s="10">
        <v>8636</v>
      </c>
    </row>
    <row r="67" spans="1:4" x14ac:dyDescent="0.3">
      <c r="A67" s="1" t="s">
        <v>111</v>
      </c>
      <c r="B67">
        <v>-986</v>
      </c>
      <c r="C67" s="10">
        <v>-1035</v>
      </c>
      <c r="D67" s="10">
        <v>-484</v>
      </c>
    </row>
    <row r="68" spans="1:4" x14ac:dyDescent="0.3">
      <c r="A68" s="11" t="s">
        <v>112</v>
      </c>
      <c r="B68" s="12">
        <v>62060</v>
      </c>
      <c r="C68" s="12">
        <v>43549</v>
      </c>
      <c r="D68" s="12">
        <v>27709</v>
      </c>
    </row>
    <row r="69" spans="1:4" ht="15" thickBot="1" x14ac:dyDescent="0.35">
      <c r="A69" s="13" t="s">
        <v>113</v>
      </c>
      <c r="B69" s="14">
        <f t="shared" ref="B69:C69" si="8">B62+B68</f>
        <v>185457</v>
      </c>
      <c r="C69" s="14">
        <f t="shared" si="8"/>
        <v>152998</v>
      </c>
      <c r="D69" s="14">
        <f>D62+D68</f>
        <v>131310</v>
      </c>
    </row>
    <row r="70" spans="1:4" ht="15" thickTop="1" x14ac:dyDescent="0.3"/>
    <row r="71" spans="1:4" x14ac:dyDescent="0.3">
      <c r="A71" s="35" t="s">
        <v>13</v>
      </c>
      <c r="B71" s="35"/>
      <c r="C71" s="35"/>
      <c r="D71" s="35"/>
    </row>
    <row r="72" spans="1:4" x14ac:dyDescent="0.3">
      <c r="B72" s="34" t="s">
        <v>57</v>
      </c>
      <c r="C72" s="34"/>
      <c r="D72" s="34"/>
    </row>
    <row r="73" spans="1:4" x14ac:dyDescent="0.3">
      <c r="B73" s="9">
        <v>2019</v>
      </c>
      <c r="C73" s="9">
        <v>2018</v>
      </c>
      <c r="D73" s="9">
        <v>2017</v>
      </c>
    </row>
    <row r="75" spans="1:4" x14ac:dyDescent="0.3">
      <c r="B75" s="10"/>
      <c r="C75" s="10"/>
      <c r="D75" s="10"/>
    </row>
    <row r="76" spans="1:4" x14ac:dyDescent="0.3">
      <c r="A76" s="9" t="s">
        <v>115</v>
      </c>
      <c r="B76" s="17">
        <v>32173</v>
      </c>
      <c r="C76" s="17">
        <v>21856</v>
      </c>
      <c r="D76" s="17">
        <v>19934</v>
      </c>
    </row>
    <row r="77" spans="1:4" x14ac:dyDescent="0.3">
      <c r="A77" t="s">
        <v>117</v>
      </c>
      <c r="B77" s="10"/>
      <c r="C77" s="10"/>
      <c r="D77" s="10"/>
    </row>
    <row r="78" spans="1:4" x14ac:dyDescent="0.3">
      <c r="A78" s="9" t="s">
        <v>122</v>
      </c>
      <c r="B78" s="10">
        <v>11588</v>
      </c>
      <c r="C78" s="10">
        <v>10073</v>
      </c>
      <c r="D78" s="10">
        <v>3033</v>
      </c>
    </row>
    <row r="79" spans="1:4" x14ac:dyDescent="0.3">
      <c r="A79" s="1" t="s">
        <v>118</v>
      </c>
      <c r="B79" s="10"/>
      <c r="C79" s="10"/>
      <c r="D79" s="10"/>
    </row>
    <row r="80" spans="1:4" x14ac:dyDescent="0.3">
      <c r="A80" s="1" t="s">
        <v>119</v>
      </c>
      <c r="B80" s="10">
        <v>21789</v>
      </c>
      <c r="C80" s="10">
        <v>15341</v>
      </c>
      <c r="D80" s="10">
        <v>11478</v>
      </c>
    </row>
    <row r="81" spans="1:4" x14ac:dyDescent="0.3">
      <c r="A81" s="18" t="s">
        <v>120</v>
      </c>
      <c r="B81" s="10">
        <v>6864</v>
      </c>
      <c r="C81" s="10">
        <v>5418</v>
      </c>
      <c r="D81" s="10">
        <v>4215</v>
      </c>
    </row>
    <row r="82" spans="1:4" x14ac:dyDescent="0.3">
      <c r="A82" s="18" t="s">
        <v>121</v>
      </c>
      <c r="B82" s="10">
        <v>796</v>
      </c>
      <c r="C82" s="10">
        <v>441</v>
      </c>
      <c r="D82" s="10">
        <v>-29</v>
      </c>
    </row>
    <row r="83" spans="1:4" x14ac:dyDescent="0.3">
      <c r="A83" s="18" t="s">
        <v>116</v>
      </c>
      <c r="B83" s="10">
        <v>-249</v>
      </c>
      <c r="C83" s="10">
        <v>219</v>
      </c>
      <c r="D83" s="10">
        <v>-292</v>
      </c>
    </row>
    <row r="84" spans="1:4" x14ac:dyDescent="0.3">
      <c r="A84" s="18" t="s">
        <v>123</v>
      </c>
      <c r="B84" s="10"/>
      <c r="C84" s="10"/>
      <c r="D84" s="10"/>
    </row>
    <row r="85" spans="1:4" x14ac:dyDescent="0.3">
      <c r="A85" s="18" t="s">
        <v>124</v>
      </c>
      <c r="B85" s="10">
        <v>-7681</v>
      </c>
      <c r="C85" s="10">
        <v>-4615</v>
      </c>
      <c r="D85" s="10">
        <v>-4780</v>
      </c>
    </row>
    <row r="86" spans="1:4" x14ac:dyDescent="0.3">
      <c r="A86" s="1" t="s">
        <v>125</v>
      </c>
      <c r="B86" s="10">
        <v>-3278</v>
      </c>
      <c r="C86" s="10">
        <v>-1314</v>
      </c>
      <c r="D86" s="10">
        <v>-3583</v>
      </c>
    </row>
    <row r="87" spans="1:4" x14ac:dyDescent="0.3">
      <c r="A87" s="1" t="s">
        <v>126</v>
      </c>
      <c r="B87" s="10"/>
      <c r="C87" s="10"/>
      <c r="D87" s="10"/>
    </row>
    <row r="88" spans="1:4" x14ac:dyDescent="0.3">
      <c r="A88" s="1" t="s">
        <v>127</v>
      </c>
      <c r="B88" s="10">
        <f>(-1383)+1711</f>
        <v>328</v>
      </c>
      <c r="C88" s="10">
        <f>1151+472</f>
        <v>1623</v>
      </c>
      <c r="D88" s="10">
        <f>283+738</f>
        <v>1021</v>
      </c>
    </row>
    <row r="89" spans="1:4" x14ac:dyDescent="0.3">
      <c r="A89" s="1" t="s">
        <v>128</v>
      </c>
      <c r="B89" s="10">
        <v>8193</v>
      </c>
      <c r="C89" s="10">
        <v>3263</v>
      </c>
      <c r="D89" s="10">
        <v>7100</v>
      </c>
    </row>
    <row r="90" spans="1:4" x14ac:dyDescent="0.3">
      <c r="A90" s="11" t="s">
        <v>129</v>
      </c>
      <c r="B90" s="12">
        <f t="shared" ref="B90:C90" si="9">B89+B88+B86+B85+B80+B81+B82+B83+B78+B76</f>
        <v>70523</v>
      </c>
      <c r="C90" s="12">
        <f t="shared" si="9"/>
        <v>52305</v>
      </c>
      <c r="D90" s="12">
        <f>D89+D88+D86+D85+D80+D81+D82+D83+D78+D76</f>
        <v>38097</v>
      </c>
    </row>
    <row r="91" spans="1:4" x14ac:dyDescent="0.3">
      <c r="A91" s="9" t="s">
        <v>130</v>
      </c>
      <c r="B91" s="10"/>
      <c r="C91" s="10"/>
      <c r="D91" s="10"/>
    </row>
    <row r="92" spans="1:4" x14ac:dyDescent="0.3">
      <c r="A92" s="1" t="s">
        <v>131</v>
      </c>
      <c r="B92" s="10">
        <v>-31812</v>
      </c>
      <c r="C92" s="10">
        <v>-7100</v>
      </c>
      <c r="D92" s="10">
        <v>-12731</v>
      </c>
    </row>
    <row r="93" spans="1:4" x14ac:dyDescent="0.3">
      <c r="A93" s="1" t="s">
        <v>132</v>
      </c>
      <c r="B93" s="10">
        <v>22681</v>
      </c>
      <c r="C93" s="10">
        <v>8240</v>
      </c>
      <c r="D93" s="10">
        <v>9677</v>
      </c>
    </row>
    <row r="94" spans="1:4" x14ac:dyDescent="0.3">
      <c r="A94" s="1" t="s">
        <v>133</v>
      </c>
      <c r="B94" s="10" t="s">
        <v>151</v>
      </c>
      <c r="C94" s="10" t="s">
        <v>151</v>
      </c>
      <c r="D94" s="10" t="s">
        <v>151</v>
      </c>
    </row>
    <row r="95" spans="1:4" x14ac:dyDescent="0.3">
      <c r="A95" s="1" t="s">
        <v>134</v>
      </c>
      <c r="B95" s="10">
        <v>-16861</v>
      </c>
      <c r="C95" s="10">
        <v>-13427</v>
      </c>
      <c r="D95" s="10">
        <v>-11955</v>
      </c>
    </row>
    <row r="96" spans="1:4" x14ac:dyDescent="0.3">
      <c r="A96" s="1" t="s">
        <v>135</v>
      </c>
      <c r="B96" s="10"/>
      <c r="C96" s="10"/>
      <c r="D96" s="10"/>
    </row>
    <row r="97" spans="1:4" x14ac:dyDescent="0.3">
      <c r="A97" s="1" t="s">
        <v>136</v>
      </c>
      <c r="B97" s="10"/>
      <c r="C97" s="10"/>
      <c r="D97" s="10"/>
    </row>
    <row r="98" spans="1:4" x14ac:dyDescent="0.3">
      <c r="A98" s="11" t="s">
        <v>137</v>
      </c>
      <c r="B98" s="12">
        <v>-24281</v>
      </c>
      <c r="C98" s="12">
        <v>-12369</v>
      </c>
      <c r="D98" s="12">
        <v>-27084</v>
      </c>
    </row>
    <row r="99" spans="1:4" x14ac:dyDescent="0.3">
      <c r="A99" s="9" t="s">
        <v>138</v>
      </c>
      <c r="C99" s="10"/>
      <c r="D99" s="10"/>
    </row>
    <row r="100" spans="1:4" x14ac:dyDescent="0.3">
      <c r="A100" s="1" t="s">
        <v>139</v>
      </c>
      <c r="B100" s="10">
        <v>-27</v>
      </c>
      <c r="C100" s="10">
        <v>-337</v>
      </c>
      <c r="D100" s="10">
        <v>-200</v>
      </c>
    </row>
    <row r="101" spans="1:4" x14ac:dyDescent="0.3">
      <c r="A101" s="1" t="s">
        <v>140</v>
      </c>
      <c r="B101" s="10">
        <v>0</v>
      </c>
      <c r="C101" s="10">
        <v>0</v>
      </c>
      <c r="D101" s="10">
        <v>0</v>
      </c>
    </row>
    <row r="102" spans="1:4" x14ac:dyDescent="0.3">
      <c r="A102" s="1" t="s">
        <v>141</v>
      </c>
      <c r="B102" s="10"/>
      <c r="C102" s="10"/>
      <c r="D102" s="10"/>
    </row>
    <row r="103" spans="1:4" x14ac:dyDescent="0.3">
      <c r="A103" s="1" t="s">
        <v>142</v>
      </c>
      <c r="B103">
        <v>2273</v>
      </c>
      <c r="C103" s="10">
        <v>768</v>
      </c>
      <c r="D103" s="10">
        <v>16228</v>
      </c>
    </row>
    <row r="104" spans="1:4" x14ac:dyDescent="0.3">
      <c r="A104" s="1" t="s">
        <v>143</v>
      </c>
      <c r="B104" s="10">
        <v>-2684</v>
      </c>
      <c r="C104" s="10">
        <v>-668</v>
      </c>
      <c r="D104" s="10">
        <v>-1301</v>
      </c>
    </row>
    <row r="105" spans="1:4" x14ac:dyDescent="0.3">
      <c r="A105" s="1" t="s">
        <v>144</v>
      </c>
      <c r="B105" t="s">
        <v>151</v>
      </c>
      <c r="C105" t="s">
        <v>151</v>
      </c>
      <c r="D105" t="s">
        <v>151</v>
      </c>
    </row>
    <row r="106" spans="1:4" x14ac:dyDescent="0.3">
      <c r="A106" s="1" t="s">
        <v>116</v>
      </c>
      <c r="B106" s="10"/>
      <c r="C106" s="10"/>
      <c r="D106" s="10"/>
    </row>
    <row r="107" spans="1:4" x14ac:dyDescent="0.3">
      <c r="A107" s="11" t="s">
        <v>145</v>
      </c>
      <c r="B107" s="12">
        <v>-10066</v>
      </c>
      <c r="C107" s="12">
        <v>-7686</v>
      </c>
      <c r="D107" s="12">
        <v>9928</v>
      </c>
    </row>
    <row r="108" spans="1:4" x14ac:dyDescent="0.3">
      <c r="A108" s="11" t="s">
        <v>146</v>
      </c>
      <c r="B108" s="12">
        <v>4237</v>
      </c>
      <c r="C108" s="12">
        <v>10317</v>
      </c>
      <c r="D108" s="12">
        <v>1922</v>
      </c>
    </row>
    <row r="109" spans="1:4" ht="15" thickBot="1" x14ac:dyDescent="0.35">
      <c r="A109" s="13" t="s">
        <v>147</v>
      </c>
      <c r="B109" s="14">
        <v>36410</v>
      </c>
      <c r="C109" s="14">
        <v>32173</v>
      </c>
      <c r="D109" s="14">
        <v>21856</v>
      </c>
    </row>
    <row r="110" spans="1:4" ht="15" thickTop="1" x14ac:dyDescent="0.3">
      <c r="B110" s="10"/>
      <c r="C110" s="10"/>
      <c r="D110" s="10"/>
    </row>
    <row r="111" spans="1:4" x14ac:dyDescent="0.3">
      <c r="A111" t="s">
        <v>148</v>
      </c>
      <c r="B111" s="10"/>
      <c r="C111" s="10"/>
      <c r="D111" s="10"/>
    </row>
    <row r="112" spans="1:4" x14ac:dyDescent="0.3">
      <c r="A112" t="s">
        <v>149</v>
      </c>
      <c r="B112" s="10">
        <v>881</v>
      </c>
      <c r="C112" s="10">
        <v>1184</v>
      </c>
      <c r="D112" s="10">
        <v>957</v>
      </c>
    </row>
    <row r="113" spans="1:4" x14ac:dyDescent="0.3">
      <c r="A113" t="s">
        <v>150</v>
      </c>
      <c r="B113" s="10">
        <v>875</v>
      </c>
      <c r="C113" s="10">
        <v>854</v>
      </c>
      <c r="D113" s="10">
        <v>328</v>
      </c>
    </row>
  </sheetData>
  <mergeCells count="6">
    <mergeCell ref="B72:D72"/>
    <mergeCell ref="A2:D2"/>
    <mergeCell ref="B3:D3"/>
    <mergeCell ref="A31:D31"/>
    <mergeCell ref="B32:D32"/>
    <mergeCell ref="A71:D7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5"/>
  <sheetViews>
    <sheetView topLeftCell="A32" zoomScale="85" zoomScaleNormal="85" workbookViewId="0">
      <selection activeCell="H31" sqref="H31"/>
    </sheetView>
  </sheetViews>
  <sheetFormatPr defaultRowHeight="14.4" x14ac:dyDescent="0.3"/>
  <cols>
    <col min="1" max="1" width="4.6640625" customWidth="1"/>
    <col min="2" max="2" width="44.88671875" customWidth="1"/>
    <col min="3" max="3" width="10.77734375" bestFit="1" customWidth="1"/>
    <col min="4" max="4" width="12" bestFit="1" customWidth="1"/>
    <col min="5" max="5" width="10.5546875" bestFit="1" customWidth="1"/>
  </cols>
  <sheetData>
    <row r="1" spans="1:10" ht="60" customHeight="1" x14ac:dyDescent="0.5">
      <c r="A1" s="7"/>
      <c r="B1" s="19" t="s">
        <v>59</v>
      </c>
      <c r="C1" s="20"/>
      <c r="D1" s="20"/>
      <c r="E1" s="20"/>
      <c r="F1" s="20"/>
      <c r="G1" s="20"/>
      <c r="H1" s="20"/>
      <c r="I1" s="20"/>
      <c r="J1" s="20"/>
    </row>
    <row r="2" spans="1:10" x14ac:dyDescent="0.3">
      <c r="C2" s="34" t="s">
        <v>60</v>
      </c>
      <c r="D2" s="34"/>
      <c r="E2" s="34"/>
    </row>
    <row r="3" spans="1:10" x14ac:dyDescent="0.3">
      <c r="C3" s="9">
        <v>2019</v>
      </c>
      <c r="D3" s="9">
        <v>2018</v>
      </c>
      <c r="E3" s="9">
        <v>2017</v>
      </c>
    </row>
    <row r="4" spans="1:10" x14ac:dyDescent="0.3">
      <c r="A4" s="21">
        <v>1</v>
      </c>
      <c r="B4" s="9" t="s">
        <v>14</v>
      </c>
    </row>
    <row r="5" spans="1:10" x14ac:dyDescent="0.3">
      <c r="A5" s="21">
        <f>+A4+0.1</f>
        <v>1.1000000000000001</v>
      </c>
      <c r="B5" s="1" t="s">
        <v>15</v>
      </c>
      <c r="C5" s="36">
        <f>'Financial Statements'!B42/'Financial Statements'!B56</f>
        <v>1.0970482394205803</v>
      </c>
      <c r="D5" s="36">
        <f>'Financial Statements'!C42/'Financial Statements'!C56</f>
        <v>1.0981123247210891</v>
      </c>
      <c r="E5" s="31">
        <f>'Financial Statements'!D42/'Financial Statements'!D56</f>
        <v>1.039977195376881</v>
      </c>
    </row>
    <row r="6" spans="1:10" x14ac:dyDescent="0.3">
      <c r="A6" s="21">
        <f t="shared" ref="A6:A13" si="0">+A5+0.1</f>
        <v>1.2000000000000002</v>
      </c>
      <c r="B6" s="1" t="s">
        <v>16</v>
      </c>
      <c r="C6" s="32">
        <f>('Financial Statements'!B42-'Financial Statements'!B39)/'Financial Statements'!B56</f>
        <v>0.86362911674941922</v>
      </c>
      <c r="D6" s="37">
        <f>('Financial Statements'!C42-'Financial Statements'!C39)/'Financial Statements'!C56</f>
        <v>0.84699741194016753</v>
      </c>
      <c r="E6" s="32">
        <f>('Financial Statements'!D42-'Financial Statements'!D39)/'Financial Statements'!D56</f>
        <v>0.76274553841369663</v>
      </c>
    </row>
    <row r="7" spans="1:10" x14ac:dyDescent="0.3">
      <c r="A7" s="21">
        <f t="shared" si="0"/>
        <v>1.3000000000000003</v>
      </c>
      <c r="B7" s="1" t="s">
        <v>17</v>
      </c>
      <c r="C7" s="31">
        <f>'Financial Statements'!B36/'Financial Statements'!B56</f>
        <v>0.41101443993987152</v>
      </c>
      <c r="D7" s="31">
        <f>'Financial Statements'!C36/'Financial Statements'!C56</f>
        <v>0.46424237107221711</v>
      </c>
      <c r="E7" s="31">
        <f>'Financial Statements'!D36/'Financial Statements'!D56</f>
        <v>0.35454278458269267</v>
      </c>
    </row>
    <row r="8" spans="1:10" x14ac:dyDescent="0.3">
      <c r="A8" s="21">
        <f t="shared" si="0"/>
        <v>1.4000000000000004</v>
      </c>
      <c r="B8" s="1" t="s">
        <v>18</v>
      </c>
      <c r="C8" s="31">
        <f>'Financial Statements'!B76/'Financial Statements'!B42</f>
        <v>0.3339734673116449</v>
      </c>
      <c r="D8" s="31">
        <f>'Financial Statements'!C76/'Financial Statements'!C42</f>
        <v>0.29102142448169799</v>
      </c>
      <c r="E8" s="31">
        <f>'Financial Statements'!D76/'Financial Statements'!D42</f>
        <v>0.33114607040217953</v>
      </c>
    </row>
    <row r="9" spans="1:10" x14ac:dyDescent="0.3">
      <c r="A9" s="21">
        <f t="shared" si="0"/>
        <v>1.5000000000000004</v>
      </c>
      <c r="B9" s="1" t="s">
        <v>19</v>
      </c>
      <c r="C9" s="38">
        <f>'Financial Statements'!B39/'Financial Statements'!B12*365</f>
        <v>45.195033104581483</v>
      </c>
      <c r="D9" s="38">
        <f>'Financial Statements'!C39/'Financial Statements'!C12*365</f>
        <v>45.046638305211417</v>
      </c>
      <c r="E9" s="30">
        <f>'Financial Statements'!D39/'Financial Statements'!D12*365</f>
        <v>52.326862258116392</v>
      </c>
    </row>
    <row r="10" spans="1:10" x14ac:dyDescent="0.3">
      <c r="A10" s="21">
        <f t="shared" si="0"/>
        <v>1.6000000000000005</v>
      </c>
      <c r="B10" s="1" t="s">
        <v>20</v>
      </c>
      <c r="C10" s="30">
        <f>'Financial Statements'!B51/'Financial Statements'!B12*365</f>
        <v>104.03655398221535</v>
      </c>
      <c r="D10" s="30">
        <f>'Financial Statements'!C51/'Financial Statements'!C12*365</f>
        <v>100.1759176751272</v>
      </c>
      <c r="E10" s="30">
        <f>'Financial Statements'!D51/'Financial Statements'!D12*365</f>
        <v>112.87758857898403</v>
      </c>
    </row>
    <row r="11" spans="1:10" x14ac:dyDescent="0.3">
      <c r="A11" s="21">
        <f t="shared" si="0"/>
        <v>1.7000000000000006</v>
      </c>
      <c r="B11" s="1" t="s">
        <v>21</v>
      </c>
      <c r="C11" s="30">
        <f>'Financial Statements'!B38/'Financial Statements'!B12*100</f>
        <v>12.574908177073265</v>
      </c>
      <c r="D11" s="30">
        <f>'Financial Statements'!C38/'Financial Statements'!C12*100</f>
        <v>11.984391618040185</v>
      </c>
      <c r="E11" s="30">
        <f>'Financial Statements'!D38/'Financial Statements'!D12*100</f>
        <v>11.76050172423035</v>
      </c>
    </row>
    <row r="12" spans="1:10" x14ac:dyDescent="0.3">
      <c r="A12" s="21">
        <f t="shared" si="0"/>
        <v>1.8000000000000007</v>
      </c>
      <c r="B12" s="1" t="s">
        <v>22</v>
      </c>
      <c r="C12" s="30">
        <f>('Financial Statements'!B85/365)+('Financial Statements'!B38/365)+('Financial Statements'!B51/365)</f>
        <v>165.25479452054793</v>
      </c>
      <c r="D12" s="30">
        <f>('Financial Statements'!C85/365)+('Financial Statements'!C38/365)+('Financial Statements'!C51/365)</f>
        <v>137.68219178082194</v>
      </c>
      <c r="E12" s="30">
        <f>('Financial Statements'!D85/365)+('Financial Statements'!D38/365)+('Financial Statements'!D51/365)</f>
        <v>117.80821917808218</v>
      </c>
    </row>
    <row r="13" spans="1:10" x14ac:dyDescent="0.3">
      <c r="A13" s="21">
        <f t="shared" si="0"/>
        <v>1.9000000000000008</v>
      </c>
      <c r="B13" s="1" t="s">
        <v>23</v>
      </c>
      <c r="C13" s="36">
        <f>(C14/'Financial Statements'!B8)</f>
        <v>3.0379079002716365E-2</v>
      </c>
      <c r="D13" s="31">
        <f>(D14/'Financial Statements'!C8)</f>
        <v>2.8812256587958968E-2</v>
      </c>
      <c r="E13" s="31">
        <f>(E14/'Financial Statements'!D8)</f>
        <v>1.3009793889782196E-2</v>
      </c>
      <c r="F13" s="31"/>
    </row>
    <row r="14" spans="1:10" x14ac:dyDescent="0.3">
      <c r="A14" s="21"/>
      <c r="B14" s="18" t="s">
        <v>24</v>
      </c>
      <c r="C14">
        <f>'Financial Statements'!B42-'Financial Statements'!B56</f>
        <v>8522</v>
      </c>
      <c r="D14">
        <f>'Financial Statements'!C42-'Financial Statements'!C56</f>
        <v>6710</v>
      </c>
      <c r="E14">
        <f>'Financial Statements'!D42-'Financial Statements'!D56</f>
        <v>2314</v>
      </c>
    </row>
    <row r="15" spans="1:10" x14ac:dyDescent="0.3">
      <c r="A15" s="21"/>
    </row>
    <row r="16" spans="1:10" x14ac:dyDescent="0.3">
      <c r="A16" s="21">
        <f>+A4+1</f>
        <v>2</v>
      </c>
      <c r="B16" s="22" t="s">
        <v>25</v>
      </c>
    </row>
    <row r="17" spans="1:5" x14ac:dyDescent="0.3">
      <c r="A17" s="21">
        <f>+A16+0.1</f>
        <v>2.1</v>
      </c>
      <c r="B17" s="1" t="s">
        <v>11</v>
      </c>
      <c r="C17" s="36">
        <f>('Financial Statements'!B13/'Financial Statements'!B8)*100</f>
        <v>40.990011478600607</v>
      </c>
      <c r="D17" s="31">
        <f>('Financial Statements'!C13/'Financial Statements'!C8)*100</f>
        <v>40.247416128852194</v>
      </c>
      <c r="E17" s="31">
        <f>('Financial Statements'!D13/'Financial Statements'!D8)*100</f>
        <v>37.068354828916149</v>
      </c>
    </row>
    <row r="18" spans="1:5" x14ac:dyDescent="0.3">
      <c r="A18" s="21">
        <f>+A17+0.1</f>
        <v>2.2000000000000002</v>
      </c>
      <c r="B18" s="1" t="s">
        <v>26</v>
      </c>
      <c r="C18" s="31">
        <f>(C19/'Financial Statements'!B8)*100</f>
        <v>7.2037130777621723</v>
      </c>
      <c r="D18" s="36">
        <f>(D19/'Financial Statements'!C8)*100</f>
        <v>7.5268263149080887</v>
      </c>
      <c r="E18" s="31">
        <f>(E19/'Financial Statements'!D8)*100</f>
        <v>4.7974317744819128</v>
      </c>
    </row>
    <row r="19" spans="1:5" x14ac:dyDescent="0.3">
      <c r="A19" s="21"/>
      <c r="B19" s="18" t="s">
        <v>27</v>
      </c>
      <c r="C19">
        <f>'Financial Statements'!B22+'Financial Statements'!B81+'Financial Statements'!B112+'Financial Statements'!B113</f>
        <v>20208</v>
      </c>
      <c r="D19">
        <f>'Financial Statements'!C22+'Financial Statements'!C81+'Financial Statements'!C112+'Financial Statements'!C113</f>
        <v>17529</v>
      </c>
      <c r="E19">
        <f>'Financial Statements'!D22+'Financial Statements'!D81+'Financial Statements'!D112+'Financial Statements'!D113</f>
        <v>8533</v>
      </c>
    </row>
    <row r="20" spans="1:5" x14ac:dyDescent="0.3">
      <c r="A20" s="21">
        <f>+A18+0.1</f>
        <v>2.3000000000000003</v>
      </c>
      <c r="B20" s="1" t="s">
        <v>28</v>
      </c>
      <c r="C20" s="31">
        <f>(C21/'Financial Statements'!B8)*100</f>
        <v>4.7568461653631449</v>
      </c>
      <c r="D20" s="36">
        <f>(D21/'Financial Statements'!C8)*100</f>
        <v>5.2003761480889876</v>
      </c>
      <c r="E20" s="31">
        <f>(E21/'Financial Statements'!D8)*100</f>
        <v>2.4276702686291927</v>
      </c>
    </row>
    <row r="21" spans="1:5" x14ac:dyDescent="0.3">
      <c r="A21" s="21"/>
      <c r="B21" s="18" t="s">
        <v>29</v>
      </c>
      <c r="C21">
        <f>'Financial Statements'!B22+'Financial Statements'!B112+'Financial Statements'!B113</f>
        <v>13344</v>
      </c>
      <c r="D21">
        <f>'Financial Statements'!C22+'Financial Statements'!C112+'Financial Statements'!C113</f>
        <v>12111</v>
      </c>
      <c r="E21">
        <f>'Financial Statements'!D22+'Financial Statements'!D112+'Financial Statements'!D113</f>
        <v>4318</v>
      </c>
    </row>
    <row r="22" spans="1:5" x14ac:dyDescent="0.3">
      <c r="A22" s="21">
        <f>+A20+0.1</f>
        <v>2.4000000000000004</v>
      </c>
      <c r="B22" s="1" t="s">
        <v>30</v>
      </c>
      <c r="C22" s="30">
        <f>'Financial Statements'!B22/'Financial Statements'!B8</f>
        <v>4.1308703060722513E-2</v>
      </c>
      <c r="D22" s="38">
        <f>'Financial Statements'!C22/'Financial Statements'!C8</f>
        <v>4.3252736305590261E-2</v>
      </c>
      <c r="E22" s="30">
        <f>'Financial Statements'!D22/'Financial Statements'!D8</f>
        <v>1.7052162864178651E-2</v>
      </c>
    </row>
    <row r="23" spans="1:5" x14ac:dyDescent="0.3">
      <c r="A23" s="21"/>
    </row>
    <row r="24" spans="1:5" x14ac:dyDescent="0.3">
      <c r="A24" s="21">
        <f>+A16+1</f>
        <v>3</v>
      </c>
      <c r="B24" s="9" t="s">
        <v>31</v>
      </c>
    </row>
    <row r="25" spans="1:5" x14ac:dyDescent="0.3">
      <c r="A25" s="21">
        <f>+A24+0.1</f>
        <v>3.1</v>
      </c>
      <c r="B25" s="1" t="s">
        <v>32</v>
      </c>
      <c r="C25" s="31">
        <f>'Financial Statements'!B62/'Financial Statements'!B68</f>
        <v>1.9883499838865615</v>
      </c>
      <c r="D25" s="36">
        <f>'Financial Statements'!C62/'Financial Statements'!C68</f>
        <v>2.5132379618360927</v>
      </c>
      <c r="E25" s="31">
        <f>'Financial Statements'!D62/'Financial Statements'!D68</f>
        <v>3.7388935003067596</v>
      </c>
    </row>
    <row r="26" spans="1:5" x14ac:dyDescent="0.3">
      <c r="A26" s="21">
        <f t="shared" ref="A26:A30" si="1">+A25+0.1</f>
        <v>3.2</v>
      </c>
      <c r="B26" s="1" t="s">
        <v>33</v>
      </c>
      <c r="C26" s="31">
        <f>'Financial Statements'!B62/'Financial Statements'!B48</f>
        <v>0.54782728370507172</v>
      </c>
      <c r="D26" s="31">
        <f>'Financial Statements'!C62/'Financial Statements'!C48</f>
        <v>0.67291943337760074</v>
      </c>
      <c r="E26" s="31">
        <f>'Financial Statements'!D62/'Financial Statements'!D48</f>
        <v>0.78898027568349705</v>
      </c>
    </row>
    <row r="27" spans="1:5" x14ac:dyDescent="0.3">
      <c r="A27" s="21">
        <f t="shared" si="1"/>
        <v>3.3000000000000003</v>
      </c>
      <c r="B27" s="1" t="s">
        <v>34</v>
      </c>
      <c r="C27" s="30">
        <f>'Financial Statements'!B61/'Financial Statements'!B68</f>
        <v>0.573396712858524</v>
      </c>
      <c r="D27" s="30">
        <f>'Financial Statements'!C61/'Financial Statements'!C68</f>
        <v>0.94280006429539143</v>
      </c>
      <c r="E27" s="30">
        <f>'Financial Statements'!D61/'Financial Statements'!D68</f>
        <v>1.6499332346890903</v>
      </c>
    </row>
    <row r="28" spans="1:5" x14ac:dyDescent="0.3">
      <c r="A28" s="21">
        <f t="shared" si="1"/>
        <v>3.4000000000000004</v>
      </c>
      <c r="B28" s="1" t="s">
        <v>35</v>
      </c>
      <c r="C28" s="30">
        <f>C19/'Financial Statements'!B113</f>
        <v>23.094857142857144</v>
      </c>
      <c r="D28" s="30">
        <f>D19/'Financial Statements'!C113</f>
        <v>20.525761124121779</v>
      </c>
      <c r="E28" s="30">
        <f>E19/'Financial Statements'!D113</f>
        <v>26.015243902439025</v>
      </c>
    </row>
    <row r="29" spans="1:5" x14ac:dyDescent="0.3">
      <c r="A29" s="21">
        <f t="shared" si="1"/>
        <v>3.5000000000000004</v>
      </c>
      <c r="B29" s="1" t="s">
        <v>36</v>
      </c>
      <c r="C29" s="30">
        <f>'Financial Statements'!B18/'Financial Statements'!B61</f>
        <v>0.40859912884642408</v>
      </c>
      <c r="D29" s="30">
        <f>'Financial Statements'!C18/'Financial Statements'!C61</f>
        <v>0.30249890398947832</v>
      </c>
      <c r="E29" s="30">
        <f>'Financial Statements'!D18/'Financial Statements'!D61</f>
        <v>8.9811452819458418E-2</v>
      </c>
    </row>
    <row r="30" spans="1:5" x14ac:dyDescent="0.3">
      <c r="A30" s="21">
        <f t="shared" si="1"/>
        <v>3.6000000000000005</v>
      </c>
      <c r="B30" s="1" t="s">
        <v>37</v>
      </c>
      <c r="C30" s="30">
        <f>C31/'Financial Statements'!B27</f>
        <v>10.145316455696202</v>
      </c>
      <c r="D30" s="30">
        <f>D31/'Financial Statements'!C27</f>
        <v>19.215605749486652</v>
      </c>
      <c r="E30" s="30" t="s">
        <v>151</v>
      </c>
    </row>
    <row r="31" spans="1:5" x14ac:dyDescent="0.3">
      <c r="A31" s="21"/>
      <c r="B31" s="18" t="s">
        <v>38</v>
      </c>
      <c r="C31">
        <f>'Financial Statements'!B22+('Financial Statements'!C45-'Financial Statements'!B45+'Financial Statements'!B79)+('Financial Statements'!B61-'Financial Statements'!D103)</f>
        <v>20037</v>
      </c>
      <c r="D31">
        <f>'Financial Statements'!C22+('Financial Statements'!D45-'Financial Statements'!C45+'Financial Statements'!C79)+('Financial Statements'!C61-'Financial Statements'!C103)</f>
        <v>37432</v>
      </c>
      <c r="E31" t="s">
        <v>151</v>
      </c>
    </row>
    <row r="32" spans="1:5" x14ac:dyDescent="0.3">
      <c r="A32" s="21"/>
    </row>
    <row r="33" spans="1:5" x14ac:dyDescent="0.3">
      <c r="A33" s="21">
        <f>+A24+1</f>
        <v>4</v>
      </c>
      <c r="B33" s="22" t="s">
        <v>39</v>
      </c>
    </row>
    <row r="34" spans="1:5" x14ac:dyDescent="0.3">
      <c r="A34" s="21">
        <f>+A33+0.1</f>
        <v>4.0999999999999996</v>
      </c>
      <c r="B34" s="1" t="s">
        <v>40</v>
      </c>
      <c r="C34" s="30">
        <f>'Financial Statements'!B8/'Financial Statements'!B48/365</f>
        <v>3.4120321807853313E-3</v>
      </c>
      <c r="D34" s="38">
        <f>'Financial Statements'!C8/'Financial Statements'!C48/365</f>
        <v>3.9228676365062332E-3</v>
      </c>
      <c r="E34" s="30">
        <f>'Financial Statements'!D8/'Financial Statements'!D48/365</f>
        <v>3.7110967145612757E-3</v>
      </c>
    </row>
    <row r="35" spans="1:5" x14ac:dyDescent="0.3">
      <c r="A35" s="21">
        <f t="shared" ref="A35:A37" si="2">+A34+0.1</f>
        <v>4.1999999999999993</v>
      </c>
      <c r="B35" s="1" t="s">
        <v>41</v>
      </c>
      <c r="C35" s="30">
        <f>'Financial Statements'!B8/'Financial Statements'!B47/12</f>
        <v>0.18133665337615257</v>
      </c>
      <c r="D35" s="30">
        <f>'Financial Statements'!C8/'Financial Statements'!C47/12</f>
        <v>0.22167807006522211</v>
      </c>
      <c r="E35" s="30">
        <f>'Financial Statements'!D8/'Financial Statements'!D47/12</f>
        <v>0.20843118229672022</v>
      </c>
    </row>
    <row r="36" spans="1:5" x14ac:dyDescent="0.3">
      <c r="A36" s="21">
        <f t="shared" si="2"/>
        <v>4.2999999999999989</v>
      </c>
      <c r="B36" s="1" t="s">
        <v>42</v>
      </c>
      <c r="C36" s="30">
        <f>'Financial Statements'!B12/'Financial Statements'!B86/12</f>
        <v>-4.2082570673174695</v>
      </c>
      <c r="D36" s="30">
        <f>'Financial Statements'!C12/'Financial Statements'!C86/12</f>
        <v>-8.8252156265854893</v>
      </c>
      <c r="E36" s="30">
        <f>'Financial Statements'!D12/'Financial Statements'!D86/12</f>
        <v>-2.6033584519490183</v>
      </c>
    </row>
    <row r="37" spans="1:5" x14ac:dyDescent="0.3">
      <c r="A37" s="21">
        <f t="shared" si="2"/>
        <v>4.3999999999999986</v>
      </c>
      <c r="B37" s="1" t="s">
        <v>43</v>
      </c>
      <c r="C37" s="30">
        <f>'Financial Statements'!B22/'Financial Statements'!B48</f>
        <v>5.1445517829237106E-2</v>
      </c>
      <c r="D37" s="30">
        <f>'Financial Statements'!C22/'Financial Statements'!C48</f>
        <v>6.1931287196891449E-2</v>
      </c>
      <c r="E37" s="30">
        <f>'Financial Statements'!D22/'Financial Statements'!D48</f>
        <v>2.3098012337217273E-2</v>
      </c>
    </row>
    <row r="38" spans="1:5" x14ac:dyDescent="0.3">
      <c r="A38" s="21"/>
    </row>
    <row r="39" spans="1:5" x14ac:dyDescent="0.3">
      <c r="A39" s="21">
        <f>+A33+1</f>
        <v>5</v>
      </c>
      <c r="B39" s="22" t="s">
        <v>44</v>
      </c>
    </row>
    <row r="40" spans="1:5" x14ac:dyDescent="0.3">
      <c r="A40" s="21">
        <f>+A39+0.1</f>
        <v>5.0999999999999996</v>
      </c>
      <c r="B40" s="1" t="s">
        <v>45</v>
      </c>
      <c r="C40" s="30">
        <f>'Financial Statements'!B68/'Financial Statements'!B22</f>
        <v>5.3555402140144981</v>
      </c>
      <c r="D40" s="30">
        <f>'Financial Statements'!C68/'Financial Statements'!C22</f>
        <v>4.3233396207683912</v>
      </c>
      <c r="E40" s="30">
        <f>'Financial Statements'!D68/'Financial Statements'!D22</f>
        <v>9.135839103198153</v>
      </c>
    </row>
    <row r="41" spans="1:5" x14ac:dyDescent="0.3">
      <c r="A41" s="21">
        <f t="shared" ref="A41:A44" si="3">+A40+0.1</f>
        <v>5.1999999999999993</v>
      </c>
      <c r="B41" s="18" t="s">
        <v>46</v>
      </c>
      <c r="C41">
        <f>'Financial Statements'!B24</f>
        <v>23.450000000000003</v>
      </c>
      <c r="D41">
        <f>'Financial Statements'!C24</f>
        <v>20.66</v>
      </c>
      <c r="E41">
        <f>'Financial Statements'!D24</f>
        <v>6.3100000000000005</v>
      </c>
    </row>
    <row r="42" spans="1:5" x14ac:dyDescent="0.3">
      <c r="A42" s="21">
        <f t="shared" si="3"/>
        <v>5.2999999999999989</v>
      </c>
      <c r="B42" s="1" t="s">
        <v>47</v>
      </c>
      <c r="C42" s="29">
        <f>('List of Ratios'!C55/'Financial Statements'!B27)/(('Financial Statements'!B48-'Financial Statements'!B62)/'Financial Statements'!B28)</f>
        <v>8.8255043200982717E-4</v>
      </c>
      <c r="D42" s="29">
        <f>('List of Ratios'!D55/'Financial Statements'!C27)/(('Financial Statements'!C48-'Financial Statements'!C62)/'Financial Statements'!C28)</f>
        <v>1.7435985677426045E-3</v>
      </c>
      <c r="E42" s="29">
        <f>('List of Ratios'!E55/'Financial Statements'!D27)/(('Financial Statements'!D48-'Financial Statements'!D62)/'Financial Statements'!D28)</f>
        <v>1.7682706130378817E-3</v>
      </c>
    </row>
    <row r="43" spans="1:5" x14ac:dyDescent="0.3">
      <c r="A43" s="21">
        <f t="shared" si="3"/>
        <v>5.3999999999999986</v>
      </c>
      <c r="B43" s="18" t="s">
        <v>48</v>
      </c>
      <c r="C43" s="30">
        <f>('Financial Statements'!B68/'Financial Statements'!B27)</f>
        <v>31.422784810126583</v>
      </c>
      <c r="D43" s="30">
        <f>('Financial Statements'!C68/'Financial Statements'!C27)</f>
        <v>22.355749486652979</v>
      </c>
      <c r="E43" s="30">
        <f>('Financial Statements'!D68/'Financial Statements'!D27)</f>
        <v>14.431770833333333</v>
      </c>
    </row>
    <row r="44" spans="1:5" x14ac:dyDescent="0.3">
      <c r="A44" s="21">
        <f t="shared" si="3"/>
        <v>5.4999999999999982</v>
      </c>
      <c r="B44" s="1" t="s">
        <v>49</v>
      </c>
    </row>
    <row r="45" spans="1:5" x14ac:dyDescent="0.3">
      <c r="A45" s="21"/>
      <c r="B45" s="18" t="s">
        <v>50</v>
      </c>
    </row>
    <row r="46" spans="1:5" x14ac:dyDescent="0.3">
      <c r="A46" s="21">
        <f>+A44+0.1</f>
        <v>5.5999999999999979</v>
      </c>
      <c r="B46" s="1" t="s">
        <v>51</v>
      </c>
      <c r="C46" s="33">
        <f>('Financial Statements'!B101+'Financial Statements'!B27)/'List of Ratios'!C55</f>
        <v>22.405499841176205</v>
      </c>
      <c r="D46" s="33">
        <f>('Financial Statements'!C101+'Financial Statements'!C27)/'List of Ratios'!D55</f>
        <v>21.561552254665397</v>
      </c>
      <c r="E46" s="33">
        <f>('Financial Statements'!D101+'Financial Statements'!D27)/'List of Ratios'!E55</f>
        <v>40.247353526883977</v>
      </c>
    </row>
    <row r="47" spans="1:5" x14ac:dyDescent="0.3">
      <c r="A47" s="21">
        <f t="shared" ref="A47:A50" si="4">+A45+0.1</f>
        <v>0.1</v>
      </c>
      <c r="B47" s="1" t="s">
        <v>52</v>
      </c>
      <c r="C47" s="30">
        <f>'Financial Statements'!B22/'Financial Statements'!B68*100</f>
        <v>18.672252658717369</v>
      </c>
      <c r="D47" s="30">
        <f>'Financial Statements'!C22/'Financial Statements'!C68*100</f>
        <v>23.130267055500699</v>
      </c>
      <c r="E47" s="30">
        <f>'Financial Statements'!D22/'Financial Statements'!D68*100</f>
        <v>10.945902053484428</v>
      </c>
    </row>
    <row r="48" spans="1:5" x14ac:dyDescent="0.3">
      <c r="A48" s="21">
        <f t="shared" si="4"/>
        <v>5.6999999999999975</v>
      </c>
      <c r="B48" s="1" t="s">
        <v>53</v>
      </c>
      <c r="C48" s="30">
        <f>C21/('Financial Statements'!B48-'Financial Statements'!B56)</f>
        <v>9.7092464856369506E-2</v>
      </c>
      <c r="D48" s="30">
        <f>D21/('Financial Statements'!C48-'Financial Statements'!C56)</f>
        <v>0.12848913078073776</v>
      </c>
      <c r="E48" s="30">
        <f>E21/('Financial Statements'!D48-'Financial Statements'!D56)</f>
        <v>5.8806705980089066E-2</v>
      </c>
    </row>
    <row r="49" spans="1:5" x14ac:dyDescent="0.3">
      <c r="A49" s="21">
        <f t="shared" si="4"/>
        <v>0.2</v>
      </c>
      <c r="B49" s="1" t="s">
        <v>43</v>
      </c>
      <c r="C49" s="30">
        <f>C37</f>
        <v>5.1445517829237106E-2</v>
      </c>
      <c r="D49" s="30">
        <f t="shared" ref="D49:E49" si="5">D37</f>
        <v>6.1931287196891449E-2</v>
      </c>
      <c r="E49" s="30">
        <f t="shared" si="5"/>
        <v>2.3098012337217273E-2</v>
      </c>
    </row>
    <row r="50" spans="1:5" x14ac:dyDescent="0.3">
      <c r="A50" s="21">
        <f t="shared" si="4"/>
        <v>5.7999999999999972</v>
      </c>
      <c r="B50" s="1" t="s">
        <v>54</v>
      </c>
      <c r="C50" s="31">
        <f>C51/C19</f>
        <v>269.70916864608074</v>
      </c>
      <c r="D50" s="31">
        <f t="shared" ref="D50:E50" si="6">D51/D19</f>
        <v>222.61994146842378</v>
      </c>
      <c r="E50" s="31">
        <f t="shared" si="6"/>
        <v>152.34991737958515</v>
      </c>
    </row>
    <row r="51" spans="1:5" x14ac:dyDescent="0.3">
      <c r="A51" s="21"/>
      <c r="B51" s="18" t="s">
        <v>55</v>
      </c>
      <c r="C51">
        <f>C55*'Financial Statements'!B68+'Financial Statements'!D103-'Financial Statements'!B109</f>
        <v>5450282.8799999999</v>
      </c>
      <c r="D51">
        <f>D55*'Financial Statements'!C68+'Financial Statements'!E103-'Financial Statements'!C109</f>
        <v>3902304.9540000004</v>
      </c>
      <c r="E51">
        <f>E55*'Financial Statements'!D68+'Financial Statements'!F103-'Financial Statements'!D109</f>
        <v>1300001.845</v>
      </c>
    </row>
    <row r="54" spans="1:5" x14ac:dyDescent="0.3">
      <c r="B54" t="s">
        <v>152</v>
      </c>
      <c r="C54">
        <v>2019</v>
      </c>
      <c r="D54">
        <v>2018</v>
      </c>
      <c r="E54">
        <v>2017</v>
      </c>
    </row>
    <row r="55" spans="1:5" x14ac:dyDescent="0.3">
      <c r="C55">
        <v>88.147999999999996</v>
      </c>
      <c r="D55">
        <v>90.346000000000004</v>
      </c>
      <c r="E55">
        <v>47.704999999999998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hardy ramsden</cp:lastModifiedBy>
  <dcterms:created xsi:type="dcterms:W3CDTF">2020-05-19T16:15:53Z</dcterms:created>
  <dcterms:modified xsi:type="dcterms:W3CDTF">2024-04-05T08:55:55Z</dcterms:modified>
</cp:coreProperties>
</file>