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414176E2-68B0-40D1-B950-1568821E6501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F32" i="1"/>
  <c r="E32" i="1"/>
  <c r="F31" i="1"/>
  <c r="E31" i="1"/>
  <c r="F30" i="1"/>
  <c r="E30" i="1"/>
  <c r="F28" i="1"/>
  <c r="E28" i="1"/>
  <c r="F27" i="1"/>
  <c r="E27" i="1"/>
  <c r="F26" i="1"/>
  <c r="E26" i="1"/>
  <c r="F24" i="1"/>
  <c r="E24" i="1"/>
  <c r="F23" i="1"/>
  <c r="E23" i="1"/>
  <c r="F22" i="1"/>
  <c r="E22" i="1"/>
  <c r="F20" i="1"/>
  <c r="E20" i="1"/>
  <c r="F19" i="1"/>
  <c r="E19" i="1"/>
  <c r="F18" i="1"/>
  <c r="E18" i="1"/>
  <c r="F16" i="1"/>
  <c r="E16" i="1"/>
  <c r="F14" i="1"/>
  <c r="E14" i="1"/>
  <c r="G14" i="1"/>
  <c r="H14" i="1"/>
  <c r="I14" i="1"/>
  <c r="G15" i="1"/>
  <c r="H15" i="1"/>
  <c r="I15" i="1"/>
  <c r="G16" i="1"/>
  <c r="H16" i="1"/>
  <c r="I16" i="1"/>
  <c r="G18" i="1"/>
  <c r="H18" i="1"/>
  <c r="I18" i="1"/>
  <c r="G19" i="1"/>
  <c r="H19" i="1"/>
  <c r="I19" i="1"/>
  <c r="G28" i="1"/>
  <c r="G27" i="1"/>
  <c r="G26" i="1"/>
  <c r="G24" i="1"/>
  <c r="G20" i="1"/>
  <c r="I20" i="1"/>
  <c r="G22" i="1"/>
  <c r="H22" i="1"/>
  <c r="I22" i="1"/>
  <c r="G23" i="1"/>
  <c r="H23" i="1"/>
  <c r="I23" i="1"/>
  <c r="H24" i="1"/>
  <c r="I24" i="1"/>
  <c r="H26" i="1"/>
  <c r="I26" i="1"/>
  <c r="H27" i="1"/>
  <c r="I27" i="1"/>
  <c r="H28" i="1"/>
  <c r="I28" i="1"/>
  <c r="G32" i="1"/>
  <c r="G31" i="1"/>
  <c r="G30" i="1"/>
  <c r="H30" i="1"/>
  <c r="I30" i="1"/>
  <c r="I31" i="1"/>
  <c r="I32" i="1"/>
  <c r="H32" i="1"/>
</calcChain>
</file>

<file path=xl/sharedStrings.xml><?xml version="1.0" encoding="utf-8"?>
<sst xmlns="http://schemas.openxmlformats.org/spreadsheetml/2006/main" count="91" uniqueCount="90">
  <si>
    <t>Instructions</t>
  </si>
  <si>
    <t>Identify suitable peers for the following companies:</t>
  </si>
  <si>
    <t>Marriot Inc.</t>
  </si>
  <si>
    <t>Tesla Inc.</t>
  </si>
  <si>
    <t>Netflix Inc.</t>
  </si>
  <si>
    <t>Nvidia Inc.</t>
  </si>
  <si>
    <t>The task can be completed in the same workbook or can be submitted as a word doc.</t>
  </si>
  <si>
    <t>Pfizer Inc.</t>
  </si>
  <si>
    <t>You are required to suggest minimum of three peers for each of the companies</t>
  </si>
  <si>
    <t>Justify your answer in bullets for mentioning a particular peer</t>
  </si>
  <si>
    <t>Netflix Inc.Competitor 1: Disney - Fellow streaming service, with famouse entertainment brands - Marvel, Star Wars, Fox</t>
  </si>
  <si>
    <t xml:space="preserve">Tesla Inc. Competitor 1: Ford - domestic American competion with both eletric and petrol vehicles  </t>
  </si>
  <si>
    <t xml:space="preserve">Tesla Inc. Competitor 2: NIO-  Chinese Competitor, known for reliablitly in eletrics also backed up by the CCP  </t>
  </si>
  <si>
    <t xml:space="preserve">Nvidia Inc.Competitor 2: Alphabet - American rival in AI, with abilty to verticaly intergrate in to the Google phones  </t>
  </si>
  <si>
    <t xml:space="preserve">Marriot Inc.Competitor 1: Hilton - High end comptitor </t>
  </si>
  <si>
    <t>Marriot Inc.Competitor 2: Hyatt - American competitor</t>
  </si>
  <si>
    <t>Pfizer Inc. Competitor 1: Johnson &amp; Johnson - American drug producer, 3rd largest market share</t>
  </si>
  <si>
    <t xml:space="preserve">Marriot Inc.Competitor 3: Accor SA -French competitor, largest in Europe, 6th world wide </t>
  </si>
  <si>
    <t xml:space="preserve">Nvidia Inc.Competitor 3: Intel - leading american chip maker, recently developed Gaudi 3 AI chip. </t>
  </si>
  <si>
    <t xml:space="preserve">Pfizer Inc. Competitor 3: Merck - rival drug producer based in Germany.  </t>
  </si>
  <si>
    <t>Nvidia Inc.Competitor 1: TSMC - Taiwanese world leading semi conductor producer, large market share</t>
  </si>
  <si>
    <t>Trailing P/E</t>
  </si>
  <si>
    <t>Forward P/E</t>
  </si>
  <si>
    <t>Profit Margin Ratio</t>
  </si>
  <si>
    <t>$16.19</t>
  </si>
  <si>
    <t xml:space="preserve">$48.79 </t>
  </si>
  <si>
    <t>$64.19</t>
  </si>
  <si>
    <t>$789.89</t>
  </si>
  <si>
    <t>Market Cap 2023 EoY  (Billions)</t>
  </si>
  <si>
    <t>$46.69</t>
  </si>
  <si>
    <t>Tesla Inc. Competitor 3: Volkswagen - European compettion,</t>
  </si>
  <si>
    <t>Netflix Inc. Competitor 2:  Amazon - lower cost alternative, as a Prime membership,</t>
  </si>
  <si>
    <t>$13.45</t>
  </si>
  <si>
    <t>Pfizer Inc. Competitor 2: Novo Nordisk -Danish drug company 54.9% for GLP-1</t>
  </si>
  <si>
    <t>$66.23</t>
  </si>
  <si>
    <t>$10.17</t>
  </si>
  <si>
    <t>$165.25</t>
  </si>
  <si>
    <t>$1'570</t>
  </si>
  <si>
    <t xml:space="preserve">Netflix Inc. Competitor 3: Apple </t>
  </si>
  <si>
    <t>$2'994</t>
  </si>
  <si>
    <t>$213.09</t>
  </si>
  <si>
    <t>$1'220</t>
  </si>
  <si>
    <t>$539.38</t>
  </si>
  <si>
    <t>$1'756</t>
  </si>
  <si>
    <t>$211.85</t>
  </si>
  <si>
    <t>$461.21</t>
  </si>
  <si>
    <t>$276.25</t>
  </si>
  <si>
    <t>$348.09</t>
  </si>
  <si>
    <t>$162.56</t>
  </si>
  <si>
    <t>$183.7</t>
  </si>
  <si>
    <t>$85.26</t>
  </si>
  <si>
    <t>$2'133</t>
  </si>
  <si>
    <t>$271.8</t>
  </si>
  <si>
    <t>$481.65</t>
  </si>
  <si>
    <t>$167.4</t>
  </si>
  <si>
    <t>$8.963</t>
  </si>
  <si>
    <t>$269.9</t>
  </si>
  <si>
    <t>$62.55</t>
  </si>
  <si>
    <t>$18.69</t>
  </si>
  <si>
    <t>$13.65</t>
  </si>
  <si>
    <t>$194.3</t>
  </si>
  <si>
    <t>$1'626.424</t>
  </si>
  <si>
    <t>$3'011.5</t>
  </si>
  <si>
    <t>$69.327</t>
  </si>
  <si>
    <t>$1'856.5</t>
  </si>
  <si>
    <t>$202.4</t>
  </si>
  <si>
    <t>$459.88</t>
  </si>
  <si>
    <t>$351.2</t>
  </si>
  <si>
    <t>$383,498</t>
  </si>
  <si>
    <t>Stock Price EoY</t>
  </si>
  <si>
    <t xml:space="preserve">Enterprise/EBITDA </t>
  </si>
  <si>
    <t>$12.27</t>
  </si>
  <si>
    <t>$9.68</t>
  </si>
  <si>
    <t>$127.123</t>
  </si>
  <si>
    <t>$146.28</t>
  </si>
  <si>
    <t>$108.97</t>
  </si>
  <si>
    <t>$30.55</t>
  </si>
  <si>
    <t>$118.40</t>
  </si>
  <si>
    <t>$91.94</t>
  </si>
  <si>
    <t>$170.36</t>
  </si>
  <si>
    <t>$91.74</t>
  </si>
  <si>
    <t>$108.66</t>
  </si>
  <si>
    <t>$33.12</t>
  </si>
  <si>
    <t>$186.38</t>
  </si>
  <si>
    <t>Operating MarginRatio</t>
  </si>
  <si>
    <t>$82.88</t>
  </si>
  <si>
    <t>$108.225</t>
  </si>
  <si>
    <t>Enterprise Value (Billions)</t>
  </si>
  <si>
    <t>Gross Profit Not Shown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</si>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</sst>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5C]#,##0.00"/>
    <numFmt numFmtId="169" formatCode="0.000000"/>
    <numFmt numFmtId="170" formatCode="0.00000"/>
    <numFmt numFmtId="171" formatCode="0.0000"/>
    <numFmt numFmtId="173" formatCode="0.000"/>
  </numFmts>
  <fonts count="3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2" fillId="0" borderId="0" xfId="0" applyFont="1"/>
    <xf numFmtId="164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1" fontId="0" fillId="0" borderId="0" xfId="0" applyNumberFormat="1"/>
    <xf numFmtId="173" fontId="0" fillId="0" borderId="0" xfId="0" applyNumberFormat="1"/>
    <xf numFmtId="171" fontId="0" fillId="3" borderId="0" xfId="0" applyNumberFormat="1" applyFill="1"/>
    <xf numFmtId="173" fontId="0" fillId="3" borderId="0" xfId="0" applyNumberFormat="1" applyFill="1"/>
    <xf numFmtId="0" fontId="0" fillId="3" borderId="0" xfId="0" applyFill="1" applyAlignment="1">
      <alignment horizontal="left" wrapText="1" indent="1"/>
    </xf>
    <xf numFmtId="17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B2" zoomScale="55" zoomScaleNormal="55" workbookViewId="0">
      <selection activeCell="K32" sqref="K32"/>
    </sheetView>
  </sheetViews>
  <sheetFormatPr defaultRowHeight="14.4" x14ac:dyDescent="0.3"/>
  <cols>
    <col min="1" max="1" width="109.77734375" style="2" bestFit="1" customWidth="1"/>
    <col min="2" max="2" width="29.109375" bestFit="1" customWidth="1"/>
    <col min="3" max="3" width="22.5546875" bestFit="1" customWidth="1"/>
    <col min="4" max="4" width="21" bestFit="1" customWidth="1"/>
    <col min="5" max="6" width="16" bestFit="1" customWidth="1"/>
    <col min="7" max="7" width="25.21875" bestFit="1" customWidth="1"/>
    <col min="8" max="8" width="24.21875" bestFit="1" customWidth="1"/>
    <col min="9" max="9" width="28.88671875" bestFit="1" customWidth="1"/>
  </cols>
  <sheetData>
    <row r="1" spans="1:9" ht="23.4" x14ac:dyDescent="0.45">
      <c r="A1" s="1" t="s">
        <v>0</v>
      </c>
    </row>
    <row r="3" spans="1:9" x14ac:dyDescent="0.3">
      <c r="A3" s="2" t="s">
        <v>1</v>
      </c>
    </row>
    <row r="4" spans="1:9" x14ac:dyDescent="0.3">
      <c r="A4" s="3" t="s">
        <v>2</v>
      </c>
      <c r="B4" t="s">
        <v>34</v>
      </c>
      <c r="C4" t="s">
        <v>50</v>
      </c>
    </row>
    <row r="5" spans="1:9" x14ac:dyDescent="0.3">
      <c r="A5" s="3" t="s">
        <v>3</v>
      </c>
      <c r="B5" t="s">
        <v>27</v>
      </c>
      <c r="C5" t="s">
        <v>53</v>
      </c>
    </row>
    <row r="6" spans="1:9" x14ac:dyDescent="0.3">
      <c r="A6" s="3" t="s">
        <v>4</v>
      </c>
      <c r="B6" t="s">
        <v>40</v>
      </c>
      <c r="C6" t="s">
        <v>52</v>
      </c>
    </row>
    <row r="7" spans="1:9" x14ac:dyDescent="0.3">
      <c r="A7" s="3" t="s">
        <v>5</v>
      </c>
      <c r="B7" t="s">
        <v>41</v>
      </c>
      <c r="C7" t="s">
        <v>51</v>
      </c>
    </row>
    <row r="8" spans="1:9" x14ac:dyDescent="0.3">
      <c r="A8" s="3" t="s">
        <v>7</v>
      </c>
      <c r="B8" t="s">
        <v>48</v>
      </c>
      <c r="C8" t="s">
        <v>49</v>
      </c>
    </row>
    <row r="9" spans="1:9" ht="15.6" customHeight="1" x14ac:dyDescent="0.3"/>
    <row r="10" spans="1:9" ht="15.6" customHeight="1" x14ac:dyDescent="0.3">
      <c r="A10" s="2" t="s">
        <v>8</v>
      </c>
    </row>
    <row r="11" spans="1:9" x14ac:dyDescent="0.3">
      <c r="A11" s="2" t="s">
        <v>9</v>
      </c>
    </row>
    <row r="12" spans="1:9" x14ac:dyDescent="0.3">
      <c r="A12" s="2" t="s">
        <v>6</v>
      </c>
      <c r="B12" s="4" t="s">
        <v>28</v>
      </c>
      <c r="C12" s="4" t="s">
        <v>87</v>
      </c>
      <c r="D12" s="4" t="s">
        <v>69</v>
      </c>
      <c r="E12" s="4" t="s">
        <v>21</v>
      </c>
      <c r="F12" s="4" t="s">
        <v>22</v>
      </c>
      <c r="G12" s="4" t="s">
        <v>70</v>
      </c>
      <c r="H12" s="4" t="s">
        <v>23</v>
      </c>
      <c r="I12" s="4" t="s">
        <v>84</v>
      </c>
    </row>
    <row r="14" spans="1:9" x14ac:dyDescent="0.3">
      <c r="A14" s="2" t="s">
        <v>11</v>
      </c>
      <c r="B14" t="s">
        <v>25</v>
      </c>
      <c r="C14" t="s">
        <v>54</v>
      </c>
      <c r="D14" t="s">
        <v>71</v>
      </c>
      <c r="E14">
        <f>12.27/2</f>
        <v>6.1349999999999998</v>
      </c>
      <c r="F14" s="8">
        <f>12.27/1.87</f>
        <v>6.5614973262032077</v>
      </c>
      <c r="G14">
        <f>1674/11808</f>
        <v>0.14176829268292682</v>
      </c>
      <c r="H14" s="8">
        <f>(16160/176191)*100</f>
        <v>9.1718646241862523</v>
      </c>
      <c r="I14" s="7">
        <f>(5458/176191)*100</f>
        <v>3.0977745741836986</v>
      </c>
    </row>
    <row r="15" spans="1:9" x14ac:dyDescent="0.3">
      <c r="A15" s="2" t="s">
        <v>12</v>
      </c>
      <c r="B15" t="s">
        <v>24</v>
      </c>
      <c r="C15" t="s">
        <v>55</v>
      </c>
      <c r="D15" t="s">
        <v>72</v>
      </c>
      <c r="E15" t="s">
        <v>89</v>
      </c>
      <c r="F15" t="s">
        <v>89</v>
      </c>
      <c r="G15" s="6">
        <f>8963/-15147947</f>
        <v>-5.9169734354100919E-4</v>
      </c>
      <c r="H15" s="7">
        <f>3051796/55617933</f>
        <v>5.4870719485386125E-2</v>
      </c>
      <c r="I15" s="8">
        <f>(-22655184/55617933)*100</f>
        <v>-40.733595763078789</v>
      </c>
    </row>
    <row r="16" spans="1:9" x14ac:dyDescent="0.3">
      <c r="A16" s="2" t="s">
        <v>30</v>
      </c>
      <c r="B16" t="s">
        <v>26</v>
      </c>
      <c r="C16" t="s">
        <v>56</v>
      </c>
      <c r="D16" t="s">
        <v>73</v>
      </c>
      <c r="E16" s="8">
        <f>127.123/31.98</f>
        <v>3.9750781738586616</v>
      </c>
      <c r="F16" s="8">
        <f>127.123/34.28</f>
        <v>3.7083722287047842</v>
      </c>
      <c r="G16" s="8">
        <f>269.9/54350</f>
        <v>4.9659613615455379E-3</v>
      </c>
      <c r="H16" s="11">
        <f>61022/322284*100</f>
        <v>18.93423191967333</v>
      </c>
      <c r="I16" s="8">
        <f>(25684/322284)*100</f>
        <v>7.9693686313934293</v>
      </c>
    </row>
    <row r="18" spans="1:9" x14ac:dyDescent="0.3">
      <c r="A18" s="13" t="s">
        <v>14</v>
      </c>
      <c r="B18" t="s">
        <v>29</v>
      </c>
      <c r="C18" t="s">
        <v>57</v>
      </c>
      <c r="D18" t="s">
        <v>74</v>
      </c>
      <c r="E18" s="10">
        <f>146.28/6.21</f>
        <v>23.555555555555557</v>
      </c>
      <c r="F18" s="10">
        <f>146.28/7.12</f>
        <v>20.54494382022472</v>
      </c>
      <c r="G18" s="7">
        <f>6255/2303</f>
        <v>2.7160225792444637</v>
      </c>
      <c r="H18" s="12">
        <f>2930/10235*100</f>
        <v>28.627259404005862</v>
      </c>
      <c r="I18" s="8">
        <f>2263/10235*100</f>
        <v>22.110405471421593</v>
      </c>
    </row>
    <row r="19" spans="1:9" x14ac:dyDescent="0.3">
      <c r="A19" s="3" t="s">
        <v>15</v>
      </c>
      <c r="B19" t="s">
        <v>32</v>
      </c>
      <c r="C19" t="s">
        <v>58</v>
      </c>
      <c r="D19" t="s">
        <v>75</v>
      </c>
      <c r="E19" s="10">
        <f>108.97/2.56</f>
        <v>42.56640625</v>
      </c>
      <c r="F19" s="10">
        <f>146.37/3.55</f>
        <v>41.230985915492958</v>
      </c>
      <c r="G19">
        <f>18.69</f>
        <v>18.690000000000001</v>
      </c>
      <c r="H19" s="8">
        <f>(1317/6667)*100</f>
        <v>19.754012299385032</v>
      </c>
      <c r="I19" s="8">
        <f>(322/6667)*100</f>
        <v>4.8297585120743962</v>
      </c>
    </row>
    <row r="20" spans="1:9" x14ac:dyDescent="0.3">
      <c r="A20" s="3" t="s">
        <v>17</v>
      </c>
      <c r="B20" t="s">
        <v>35</v>
      </c>
      <c r="C20" t="s">
        <v>59</v>
      </c>
      <c r="D20" t="s">
        <v>76</v>
      </c>
      <c r="E20" s="10">
        <f>30.55/1.86</f>
        <v>16.4247311827957</v>
      </c>
      <c r="F20" s="10">
        <f>39.78/2.22</f>
        <v>17.918918918918919</v>
      </c>
      <c r="G20" s="8">
        <f>13650/779</f>
        <v>17.522464698331195</v>
      </c>
      <c r="H20" t="s">
        <v>88</v>
      </c>
      <c r="I20" s="8">
        <f>(779/5056)*100</f>
        <v>15.407436708860759</v>
      </c>
    </row>
    <row r="21" spans="1:9" x14ac:dyDescent="0.3">
      <c r="A21" s="3"/>
    </row>
    <row r="22" spans="1:9" x14ac:dyDescent="0.3">
      <c r="A22" s="3" t="s">
        <v>10</v>
      </c>
      <c r="B22" t="s">
        <v>36</v>
      </c>
      <c r="C22" t="s">
        <v>60</v>
      </c>
      <c r="D22" s="5" t="s">
        <v>78</v>
      </c>
      <c r="E22" s="8">
        <f>91.94/3.76</f>
        <v>24.452127659574469</v>
      </c>
      <c r="F22" s="8">
        <f>112.61/4.68</f>
        <v>24.061965811965813</v>
      </c>
      <c r="G22" s="7">
        <f>194300/13209</f>
        <v>14.709667650844121</v>
      </c>
      <c r="H22" s="8">
        <f>(30533/88935)*100</f>
        <v>34.331815370776411</v>
      </c>
      <c r="I22">
        <f>(9935/88935)*100</f>
        <v>11.171080002248832</v>
      </c>
    </row>
    <row r="23" spans="1:9" x14ac:dyDescent="0.3">
      <c r="A23" s="3" t="s">
        <v>31</v>
      </c>
      <c r="B23" t="s">
        <v>37</v>
      </c>
      <c r="C23" t="s">
        <v>61</v>
      </c>
      <c r="D23" t="s">
        <v>77</v>
      </c>
      <c r="E23" s="8">
        <f>118.4/2.9</f>
        <v>40.827586206896555</v>
      </c>
      <c r="F23" s="8">
        <f>174.63/4.14</f>
        <v>42.181159420289859</v>
      </c>
      <c r="G23" s="8">
        <f>1626424/89402</f>
        <v>18.19225520681864</v>
      </c>
      <c r="H23" s="8">
        <f>(93805/574785)*100</f>
        <v>16.32001531007246</v>
      </c>
      <c r="I23" s="8">
        <f>(36852/574785)*100</f>
        <v>6.41144079960333</v>
      </c>
    </row>
    <row r="24" spans="1:9" x14ac:dyDescent="0.3">
      <c r="A24" s="13" t="s">
        <v>38</v>
      </c>
      <c r="B24" t="s">
        <v>39</v>
      </c>
      <c r="C24" t="s">
        <v>62</v>
      </c>
      <c r="D24" t="s">
        <v>79</v>
      </c>
      <c r="E24" s="8">
        <f>170.36/6.13</f>
        <v>27.791190864600328</v>
      </c>
      <c r="F24" s="8">
        <f>164.64/6.54</f>
        <v>25.174311926605501</v>
      </c>
      <c r="G24" s="8">
        <f>3011500/133477</f>
        <v>22.561939510177783</v>
      </c>
      <c r="H24" s="11">
        <f>(173671/385706)*100</f>
        <v>45.026782056799739</v>
      </c>
      <c r="I24" s="11">
        <f>(118658/385706)*100</f>
        <v>30.763846038174155</v>
      </c>
    </row>
    <row r="26" spans="1:9" x14ac:dyDescent="0.3">
      <c r="A26" s="3" t="s">
        <v>20</v>
      </c>
      <c r="B26" t="s">
        <v>42</v>
      </c>
      <c r="C26" t="s">
        <v>63</v>
      </c>
      <c r="D26" t="s">
        <v>80</v>
      </c>
      <c r="E26" s="10">
        <f>91.74/5.18</f>
        <v>17.710424710424711</v>
      </c>
      <c r="F26" s="10">
        <f>126.42/6.27</f>
        <v>20.162679425837322</v>
      </c>
      <c r="G26" s="6">
        <f>6923700/921465.606</f>
        <v>7.5137910247732025</v>
      </c>
      <c r="H26" s="7">
        <f>(1175110628/2161735841)*100</f>
        <v>54.359584816635333</v>
      </c>
      <c r="I26" s="7">
        <f>(253701600/2161735841)*100</f>
        <v>11.736013031205509</v>
      </c>
    </row>
    <row r="27" spans="1:9" x14ac:dyDescent="0.3">
      <c r="A27" s="3" t="s">
        <v>13</v>
      </c>
      <c r="B27" t="s">
        <v>43</v>
      </c>
      <c r="C27" t="s">
        <v>64</v>
      </c>
      <c r="D27" t="s">
        <v>81</v>
      </c>
      <c r="E27" s="10">
        <f>108.66/5.8</f>
        <v>18.73448275862069</v>
      </c>
      <c r="F27" s="10">
        <f>153.01/6.83</f>
        <v>22.402635431918007</v>
      </c>
      <c r="G27" s="7">
        <f>69327/97.971</f>
        <v>707.62776740055733</v>
      </c>
      <c r="H27" s="8">
        <f>(174062/307394)*100</f>
        <v>56.625047984020505</v>
      </c>
      <c r="I27" s="7">
        <f>(84293/307394)*100</f>
        <v>27.421810445226647</v>
      </c>
    </row>
    <row r="28" spans="1:9" x14ac:dyDescent="0.3">
      <c r="A28" s="13" t="s">
        <v>18</v>
      </c>
      <c r="B28" t="s">
        <v>44</v>
      </c>
      <c r="C28" t="s">
        <v>65</v>
      </c>
      <c r="D28" t="s">
        <v>82</v>
      </c>
      <c r="E28" s="10">
        <f>33.12/1.05</f>
        <v>31.542857142857137</v>
      </c>
      <c r="F28" s="10">
        <f>34.2/1.34</f>
        <v>25.522388059701495</v>
      </c>
      <c r="G28" s="6">
        <f>202400/35583</f>
        <v>5.6881094904870304</v>
      </c>
      <c r="H28" s="7">
        <f>(44301/60922)*100</f>
        <v>72.71757329043696</v>
      </c>
      <c r="I28" s="14">
        <f>(32972/60922)*100</f>
        <v>54.121663766783755</v>
      </c>
    </row>
    <row r="30" spans="1:9" x14ac:dyDescent="0.3">
      <c r="A30" s="3" t="s">
        <v>16</v>
      </c>
      <c r="B30" t="s">
        <v>47</v>
      </c>
      <c r="C30" t="s">
        <v>68</v>
      </c>
      <c r="D30" t="s">
        <v>83</v>
      </c>
      <c r="E30" s="10">
        <f>186.38/9.92</f>
        <v>18.788306451612904</v>
      </c>
      <c r="F30" s="10">
        <f>147.7/10.65</f>
        <v>13.868544600938966</v>
      </c>
      <c r="G30" s="7">
        <f>383498/22009</f>
        <v>17.424599027670499</v>
      </c>
      <c r="H30" s="11">
        <f>(58606/85159)*100</f>
        <v>68.819502342676643</v>
      </c>
      <c r="I30" s="8">
        <f>(22009/85159)*100</f>
        <v>25.84459657816555</v>
      </c>
    </row>
    <row r="31" spans="1:9" x14ac:dyDescent="0.3">
      <c r="A31" s="3" t="s">
        <v>33</v>
      </c>
      <c r="B31" t="s">
        <v>45</v>
      </c>
      <c r="C31" t="s">
        <v>66</v>
      </c>
      <c r="D31" t="s">
        <v>85</v>
      </c>
      <c r="E31" s="10">
        <f>82.88/2.66</f>
        <v>31.157894736842103</v>
      </c>
      <c r="F31" s="10">
        <f>122.59/3.34</f>
        <v>36.703592814371262</v>
      </c>
      <c r="G31" s="9">
        <f>45988/114629</f>
        <v>0.40118992576049689</v>
      </c>
      <c r="H31" s="9">
        <f>(196496/232261)*100</f>
        <v>84.60137517706373</v>
      </c>
      <c r="I31" s="11">
        <f>(102574/232261)*100</f>
        <v>44.163247381178934</v>
      </c>
    </row>
    <row r="32" spans="1:9" x14ac:dyDescent="0.3">
      <c r="A32" s="3" t="s">
        <v>19</v>
      </c>
      <c r="B32" t="s">
        <v>46</v>
      </c>
      <c r="C32" t="s">
        <v>67</v>
      </c>
      <c r="D32" t="s">
        <v>86</v>
      </c>
      <c r="E32" s="10">
        <f>108.225/1.51</f>
        <v>71.672185430463571</v>
      </c>
      <c r="F32" s="10">
        <f>125.78/8.56</f>
        <v>14.693925233644858</v>
      </c>
      <c r="G32" s="9">
        <f>3512/690700</f>
        <v>5.0846966845229475E-3</v>
      </c>
      <c r="H32" s="9">
        <f>(43989/60115)*100</f>
        <v>73.174748398902096</v>
      </c>
      <c r="I32" s="8">
        <f>(2954/601151)*100</f>
        <v>0.49139068220796439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2020-05-19T16:42:58Z</dcterms:created>
  <dcterms:modified xsi:type="dcterms:W3CDTF">2024-04-21T09:07:09Z</dcterms:modified>
</cp:coreProperties>
</file>