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tudent\Downloads\Quill Capital Partners Coursework\"/>
    </mc:Choice>
  </mc:AlternateContent>
  <xr:revisionPtr revIDLastSave="0" documentId="13_ncr:1_{E57A30A1-A6CA-4B8A-A5DF-02072CECB9E8}" xr6:coauthVersionLast="47" xr6:coauthVersionMax="47" xr10:uidLastSave="{00000000-0000-0000-0000-000000000000}"/>
  <bookViews>
    <workbookView xWindow="1044" yWindow="1620" windowWidth="17280" windowHeight="88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4" l="1"/>
  <c r="L18" i="4"/>
  <c r="M18" i="4"/>
  <c r="N18" i="4"/>
  <c r="L38" i="4"/>
  <c r="M38" i="4"/>
  <c r="N38" i="4"/>
  <c r="L39" i="4"/>
  <c r="M39" i="4" s="1"/>
  <c r="N39" i="4" s="1"/>
  <c r="K39" i="4"/>
  <c r="L37" i="4"/>
  <c r="M37" i="4"/>
  <c r="N37" i="4" s="1"/>
  <c r="L35" i="4"/>
  <c r="M35" i="4" s="1"/>
  <c r="N35" i="4" s="1"/>
  <c r="L36" i="4"/>
  <c r="M36" i="4" s="1"/>
  <c r="N36" i="4" s="1"/>
  <c r="L34" i="4"/>
  <c r="M34" i="4" s="1"/>
  <c r="L68" i="4"/>
  <c r="M68" i="4" s="1"/>
  <c r="K68" i="4"/>
  <c r="K69" i="4"/>
  <c r="J69" i="4"/>
  <c r="L69" i="4"/>
  <c r="J22" i="4"/>
  <c r="J56" i="4"/>
  <c r="J47" i="4"/>
  <c r="J48" i="4" s="1"/>
  <c r="J38" i="4"/>
  <c r="J35" i="4"/>
  <c r="J25" i="4"/>
  <c r="J31" i="4" s="1"/>
  <c r="J6" i="4"/>
  <c r="J3" i="3"/>
  <c r="J5" i="3"/>
  <c r="J4" i="3" s="1"/>
  <c r="J8" i="3"/>
  <c r="M43" i="4" l="1"/>
  <c r="N34" i="4"/>
  <c r="N43" i="4" s="1"/>
  <c r="L43" i="4"/>
  <c r="M69" i="4"/>
  <c r="N68" i="4"/>
  <c r="N69" i="4" s="1"/>
  <c r="J49" i="4"/>
  <c r="J55" i="4"/>
  <c r="J58" i="4"/>
  <c r="J43" i="4"/>
  <c r="G169" i="1"/>
  <c r="C3" i="4"/>
  <c r="D3" i="4"/>
  <c r="E3" i="4"/>
  <c r="F3" i="4"/>
  <c r="G3" i="4"/>
  <c r="H3" i="4"/>
  <c r="I4" i="4" s="1"/>
  <c r="I3" i="4"/>
  <c r="B3" i="4"/>
  <c r="B24" i="4" s="1"/>
  <c r="H69" i="4"/>
  <c r="B69" i="4"/>
  <c r="B58" i="4"/>
  <c r="B57" i="4"/>
  <c r="C68" i="4"/>
  <c r="C69" i="4" s="1"/>
  <c r="D68" i="4"/>
  <c r="D69" i="4" s="1"/>
  <c r="E68" i="4"/>
  <c r="E69" i="4" s="1"/>
  <c r="F68" i="4"/>
  <c r="F69" i="4" s="1"/>
  <c r="G68" i="4"/>
  <c r="G69" i="4" s="1"/>
  <c r="H68" i="4"/>
  <c r="I68" i="4"/>
  <c r="I69" i="4" s="1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F60" i="4"/>
  <c r="G60" i="4"/>
  <c r="H60" i="4"/>
  <c r="C59" i="4"/>
  <c r="C60" i="4" s="1"/>
  <c r="D59" i="4"/>
  <c r="D60" i="4" s="1"/>
  <c r="E59" i="4"/>
  <c r="E60" i="4" s="1"/>
  <c r="F59" i="4"/>
  <c r="G59" i="4"/>
  <c r="H59" i="4"/>
  <c r="I59" i="4"/>
  <c r="I60" i="4" s="1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B59" i="4"/>
  <c r="B61" i="4"/>
  <c r="C56" i="4"/>
  <c r="D56" i="4"/>
  <c r="E56" i="4"/>
  <c r="F56" i="4"/>
  <c r="G56" i="4"/>
  <c r="H56" i="4"/>
  <c r="I56" i="4"/>
  <c r="B56" i="4"/>
  <c r="B64" i="4"/>
  <c r="C51" i="4"/>
  <c r="D51" i="4"/>
  <c r="E51" i="4"/>
  <c r="F51" i="4"/>
  <c r="G51" i="4"/>
  <c r="H51" i="4"/>
  <c r="I51" i="4"/>
  <c r="B51" i="4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B50" i="4"/>
  <c r="H53" i="4"/>
  <c r="I53" i="4"/>
  <c r="C57" i="4"/>
  <c r="C58" i="4" s="1"/>
  <c r="C64" i="4" s="1"/>
  <c r="D57" i="4"/>
  <c r="D58" i="4" s="1"/>
  <c r="D64" i="4" s="1"/>
  <c r="E57" i="4"/>
  <c r="E58" i="4" s="1"/>
  <c r="E64" i="4" s="1"/>
  <c r="F57" i="4"/>
  <c r="F58" i="4" s="1"/>
  <c r="F64" i="4" s="1"/>
  <c r="G57" i="4"/>
  <c r="G58" i="4" s="1"/>
  <c r="G64" i="4" s="1"/>
  <c r="H57" i="4"/>
  <c r="H58" i="4" s="1"/>
  <c r="H64" i="4" s="1"/>
  <c r="I57" i="4"/>
  <c r="I58" i="4" s="1"/>
  <c r="I64" i="4" s="1"/>
  <c r="J18" i="4"/>
  <c r="K16" i="4"/>
  <c r="L16" i="4"/>
  <c r="L17" i="4" s="1"/>
  <c r="M16" i="4"/>
  <c r="N16" i="4"/>
  <c r="K15" i="4"/>
  <c r="L15" i="4"/>
  <c r="M15" i="4"/>
  <c r="N15" i="4"/>
  <c r="J17" i="4"/>
  <c r="K17" i="4"/>
  <c r="C24" i="4"/>
  <c r="D24" i="4"/>
  <c r="C23" i="4"/>
  <c r="D23" i="4"/>
  <c r="E23" i="4"/>
  <c r="E24" i="4" s="1"/>
  <c r="F23" i="4"/>
  <c r="F24" i="4" s="1"/>
  <c r="G23" i="4"/>
  <c r="H23" i="4"/>
  <c r="I23" i="4"/>
  <c r="I24" i="4" s="1"/>
  <c r="B23" i="4"/>
  <c r="C52" i="4"/>
  <c r="C53" i="4" s="1"/>
  <c r="D52" i="4"/>
  <c r="D53" i="4" s="1"/>
  <c r="E52" i="4"/>
  <c r="E53" i="4" s="1"/>
  <c r="F52" i="4"/>
  <c r="F53" i="4" s="1"/>
  <c r="G52" i="4"/>
  <c r="G53" i="4" s="1"/>
  <c r="H52" i="4"/>
  <c r="I52" i="4"/>
  <c r="G18" i="4"/>
  <c r="H18" i="4"/>
  <c r="I18" i="4"/>
  <c r="B52" i="4"/>
  <c r="B53" i="4" s="1"/>
  <c r="H43" i="4"/>
  <c r="C39" i="4"/>
  <c r="D39" i="4"/>
  <c r="E39" i="4"/>
  <c r="F39" i="4"/>
  <c r="G39" i="4"/>
  <c r="H39" i="4"/>
  <c r="I39" i="4"/>
  <c r="B39" i="4"/>
  <c r="C53" i="3"/>
  <c r="D53" i="3"/>
  <c r="E53" i="3"/>
  <c r="F53" i="3"/>
  <c r="G53" i="3"/>
  <c r="H53" i="3"/>
  <c r="I53" i="3"/>
  <c r="B53" i="3"/>
  <c r="C52" i="3"/>
  <c r="D52" i="3"/>
  <c r="E52" i="3"/>
  <c r="F52" i="3"/>
  <c r="G52" i="3"/>
  <c r="H52" i="3"/>
  <c r="I52" i="3"/>
  <c r="B52" i="3"/>
  <c r="B35" i="4"/>
  <c r="C33" i="4"/>
  <c r="C43" i="4" s="1"/>
  <c r="D33" i="4"/>
  <c r="D43" i="4" s="1"/>
  <c r="E33" i="4"/>
  <c r="E43" i="4" s="1"/>
  <c r="F33" i="4"/>
  <c r="F43" i="4" s="1"/>
  <c r="G33" i="4"/>
  <c r="G43" i="4" s="1"/>
  <c r="H33" i="4"/>
  <c r="I33" i="4"/>
  <c r="I43" i="4" s="1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7" i="4"/>
  <c r="B33" i="4"/>
  <c r="B43" i="4" s="1"/>
  <c r="B36" i="4"/>
  <c r="B34" i="4"/>
  <c r="K12" i="4"/>
  <c r="L12" i="4"/>
  <c r="M12" i="4"/>
  <c r="N12" i="4"/>
  <c r="C17" i="4"/>
  <c r="D17" i="4"/>
  <c r="H17" i="4"/>
  <c r="I17" i="4"/>
  <c r="B17" i="4"/>
  <c r="C12" i="4"/>
  <c r="D12" i="4"/>
  <c r="E12" i="4"/>
  <c r="F12" i="4"/>
  <c r="G12" i="4"/>
  <c r="H12" i="4"/>
  <c r="I12" i="4"/>
  <c r="B12" i="4"/>
  <c r="C25" i="4"/>
  <c r="D25" i="4"/>
  <c r="E25" i="4"/>
  <c r="F25" i="4"/>
  <c r="G25" i="4"/>
  <c r="H25" i="4"/>
  <c r="I25" i="4"/>
  <c r="B25" i="4"/>
  <c r="B30" i="4" s="1"/>
  <c r="B31" i="4" s="1"/>
  <c r="C26" i="4"/>
  <c r="C31" i="4" s="1"/>
  <c r="D26" i="4"/>
  <c r="D31" i="4" s="1"/>
  <c r="E26" i="4"/>
  <c r="F26" i="4"/>
  <c r="F31" i="4" s="1"/>
  <c r="G26" i="4"/>
  <c r="G31" i="4" s="1"/>
  <c r="H26" i="4"/>
  <c r="H31" i="4" s="1"/>
  <c r="I26" i="4"/>
  <c r="I31" i="4" s="1"/>
  <c r="C27" i="4"/>
  <c r="D27" i="4"/>
  <c r="E27" i="4"/>
  <c r="E31" i="4" s="1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29" i="4"/>
  <c r="B28" i="4"/>
  <c r="B27" i="4"/>
  <c r="B26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C16" i="4"/>
  <c r="C18" i="4" s="1"/>
  <c r="D16" i="4"/>
  <c r="D18" i="4" s="1"/>
  <c r="E16" i="4"/>
  <c r="F18" i="4" s="1"/>
  <c r="F16" i="4"/>
  <c r="F17" i="4" s="1"/>
  <c r="G16" i="4"/>
  <c r="G17" i="4" s="1"/>
  <c r="H16" i="4"/>
  <c r="I16" i="4"/>
  <c r="C15" i="4"/>
  <c r="D15" i="4"/>
  <c r="E15" i="4"/>
  <c r="F15" i="4"/>
  <c r="G15" i="4"/>
  <c r="H15" i="4"/>
  <c r="I15" i="4"/>
  <c r="B15" i="4"/>
  <c r="B16" i="4"/>
  <c r="C6" i="4"/>
  <c r="G6" i="4"/>
  <c r="C10" i="4"/>
  <c r="D10" i="4"/>
  <c r="E10" i="4"/>
  <c r="F10" i="4"/>
  <c r="G10" i="4"/>
  <c r="H10" i="4"/>
  <c r="I10" i="4"/>
  <c r="B10" i="4"/>
  <c r="F4" i="4"/>
  <c r="D4" i="4"/>
  <c r="E4" i="4"/>
  <c r="I48" i="3"/>
  <c r="I49" i="3" s="1"/>
  <c r="H48" i="3"/>
  <c r="G48" i="3"/>
  <c r="G50" i="3" s="1"/>
  <c r="F48" i="3"/>
  <c r="F49" i="3" s="1"/>
  <c r="E48" i="3"/>
  <c r="D48" i="3"/>
  <c r="C48" i="3"/>
  <c r="C49" i="3" s="1"/>
  <c r="B48" i="3"/>
  <c r="B49" i="3" s="1"/>
  <c r="I47" i="3"/>
  <c r="J47" i="3" s="1"/>
  <c r="K47" i="3" s="1"/>
  <c r="L47" i="3" s="1"/>
  <c r="M47" i="3" s="1"/>
  <c r="N47" i="3" s="1"/>
  <c r="I45" i="3"/>
  <c r="H45" i="3"/>
  <c r="G45" i="3"/>
  <c r="F45" i="3"/>
  <c r="F47" i="3" s="1"/>
  <c r="E45" i="3"/>
  <c r="D45" i="3"/>
  <c r="E46" i="3" s="1"/>
  <c r="C45" i="3"/>
  <c r="B45" i="3"/>
  <c r="B46" i="3" s="1"/>
  <c r="G44" i="3"/>
  <c r="I42" i="3"/>
  <c r="I43" i="3" s="1"/>
  <c r="H42" i="3"/>
  <c r="H44" i="3" s="1"/>
  <c r="G42" i="3"/>
  <c r="G43" i="3" s="1"/>
  <c r="F42" i="3"/>
  <c r="E42" i="3"/>
  <c r="D42" i="3"/>
  <c r="C42" i="3"/>
  <c r="C44" i="3" s="1"/>
  <c r="B42" i="3"/>
  <c r="G41" i="3"/>
  <c r="I39" i="3"/>
  <c r="H39" i="3"/>
  <c r="I38" i="3"/>
  <c r="I40" i="3" s="1"/>
  <c r="H38" i="3"/>
  <c r="H35" i="3" s="1"/>
  <c r="G38" i="3"/>
  <c r="G47" i="4" s="1"/>
  <c r="F38" i="3"/>
  <c r="F47" i="4" s="1"/>
  <c r="E38" i="3"/>
  <c r="D38" i="3"/>
  <c r="C38" i="3"/>
  <c r="C41" i="3" s="1"/>
  <c r="B38" i="3"/>
  <c r="B41" i="3" s="1"/>
  <c r="K34" i="3"/>
  <c r="L34" i="3" s="1"/>
  <c r="M34" i="3" s="1"/>
  <c r="N34" i="3" s="1"/>
  <c r="K33" i="3"/>
  <c r="K32" i="3" s="1"/>
  <c r="I33" i="3"/>
  <c r="H33" i="3"/>
  <c r="G33" i="3"/>
  <c r="F33" i="3"/>
  <c r="E33" i="3"/>
  <c r="D33" i="3"/>
  <c r="C33" i="3"/>
  <c r="B33" i="3"/>
  <c r="J32" i="3"/>
  <c r="I31" i="3"/>
  <c r="I32" i="3" s="1"/>
  <c r="I34" i="3" s="1"/>
  <c r="H31" i="3"/>
  <c r="H32" i="3" s="1"/>
  <c r="H34" i="3" s="1"/>
  <c r="G31" i="3"/>
  <c r="F31" i="3"/>
  <c r="E31" i="3"/>
  <c r="D31" i="3"/>
  <c r="E32" i="3" s="1"/>
  <c r="E34" i="3" s="1"/>
  <c r="C31" i="3"/>
  <c r="B31" i="3"/>
  <c r="B32" i="3" s="1"/>
  <c r="B34" i="3" s="1"/>
  <c r="K30" i="3"/>
  <c r="K28" i="3" s="1"/>
  <c r="K29" i="3"/>
  <c r="L29" i="3" s="1"/>
  <c r="I29" i="3"/>
  <c r="H29" i="3"/>
  <c r="G29" i="3"/>
  <c r="F29" i="3"/>
  <c r="E29" i="3"/>
  <c r="D29" i="3"/>
  <c r="C29" i="3"/>
  <c r="B29" i="3"/>
  <c r="J28" i="3"/>
  <c r="I27" i="3"/>
  <c r="H27" i="3"/>
  <c r="G27" i="3"/>
  <c r="F27" i="3"/>
  <c r="E27" i="3"/>
  <c r="E28" i="3" s="1"/>
  <c r="E30" i="3" s="1"/>
  <c r="D27" i="3"/>
  <c r="C27" i="3"/>
  <c r="D28" i="3" s="1"/>
  <c r="D30" i="3" s="1"/>
  <c r="B27" i="3"/>
  <c r="B28" i="3" s="1"/>
  <c r="B30" i="3" s="1"/>
  <c r="K26" i="3"/>
  <c r="L26" i="3" s="1"/>
  <c r="M26" i="3" s="1"/>
  <c r="M25" i="3"/>
  <c r="N25" i="3" s="1"/>
  <c r="L25" i="3"/>
  <c r="L24" i="3" s="1"/>
  <c r="K25" i="3"/>
  <c r="I25" i="3"/>
  <c r="H25" i="3"/>
  <c r="G25" i="3"/>
  <c r="F25" i="3"/>
  <c r="E25" i="3"/>
  <c r="D25" i="3"/>
  <c r="C25" i="3"/>
  <c r="B25" i="3"/>
  <c r="K24" i="3"/>
  <c r="J24" i="3"/>
  <c r="E24" i="3"/>
  <c r="K23" i="3"/>
  <c r="I23" i="3"/>
  <c r="H23" i="3"/>
  <c r="I24" i="3" s="1"/>
  <c r="I26" i="3" s="1"/>
  <c r="G23" i="3"/>
  <c r="F23" i="3"/>
  <c r="G24" i="3" s="1"/>
  <c r="G26" i="3" s="1"/>
  <c r="E23" i="3"/>
  <c r="D23" i="3"/>
  <c r="C23" i="3"/>
  <c r="B23" i="3"/>
  <c r="B24" i="3" s="1"/>
  <c r="B26" i="3" s="1"/>
  <c r="G22" i="3"/>
  <c r="I21" i="3"/>
  <c r="H21" i="3"/>
  <c r="I22" i="3" s="1"/>
  <c r="G21" i="3"/>
  <c r="F21" i="3"/>
  <c r="E21" i="3"/>
  <c r="E44" i="3" s="1"/>
  <c r="D21" i="3"/>
  <c r="D22" i="3" s="1"/>
  <c r="C21" i="3"/>
  <c r="B21" i="3"/>
  <c r="C22" i="3" s="1"/>
  <c r="N18" i="3"/>
  <c r="M18" i="3"/>
  <c r="L18" i="3"/>
  <c r="K18" i="3"/>
  <c r="J15" i="3"/>
  <c r="K14" i="3" s="1"/>
  <c r="I17" i="3"/>
  <c r="J18" i="3" s="1"/>
  <c r="H17" i="3"/>
  <c r="G17" i="3"/>
  <c r="F17" i="3"/>
  <c r="E17" i="3"/>
  <c r="D17" i="3"/>
  <c r="C17" i="3"/>
  <c r="B17" i="3"/>
  <c r="I14" i="3"/>
  <c r="I15" i="3" s="1"/>
  <c r="H14" i="3"/>
  <c r="G14" i="3"/>
  <c r="F14" i="3"/>
  <c r="E14" i="3"/>
  <c r="D14" i="3"/>
  <c r="C14" i="3"/>
  <c r="B14" i="3"/>
  <c r="C15" i="3" s="1"/>
  <c r="I11" i="3"/>
  <c r="H11" i="3"/>
  <c r="G11" i="3"/>
  <c r="F11" i="3"/>
  <c r="E11" i="3"/>
  <c r="E7" i="4" s="1"/>
  <c r="D11" i="3"/>
  <c r="D7" i="4" s="1"/>
  <c r="C11" i="3"/>
  <c r="B11" i="3"/>
  <c r="B12" i="3" s="1"/>
  <c r="I8" i="3"/>
  <c r="H8" i="3"/>
  <c r="H10" i="3" s="1"/>
  <c r="G8" i="3"/>
  <c r="F8" i="3"/>
  <c r="E8" i="3"/>
  <c r="D8" i="3"/>
  <c r="D6" i="4" s="1"/>
  <c r="C8" i="3"/>
  <c r="B8" i="3"/>
  <c r="I5" i="3"/>
  <c r="I7" i="3" s="1"/>
  <c r="G5" i="3"/>
  <c r="F5" i="3"/>
  <c r="F5" i="4" s="1"/>
  <c r="E5" i="3"/>
  <c r="E5" i="4" s="1"/>
  <c r="D5" i="3"/>
  <c r="D7" i="3" s="1"/>
  <c r="C5" i="3"/>
  <c r="B5" i="3"/>
  <c r="I3" i="3"/>
  <c r="I16" i="3" s="1"/>
  <c r="H3" i="3"/>
  <c r="H4" i="3" s="1"/>
  <c r="G3" i="3"/>
  <c r="F3" i="3"/>
  <c r="F4" i="3" s="1"/>
  <c r="E3" i="3"/>
  <c r="D3" i="3"/>
  <c r="D4" i="3" s="1"/>
  <c r="C3" i="3"/>
  <c r="B3" i="3"/>
  <c r="B4" i="3" s="1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H200" i="1"/>
  <c r="G200" i="1"/>
  <c r="H199" i="1"/>
  <c r="G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C168" i="1"/>
  <c r="B168" i="1"/>
  <c r="D158" i="1"/>
  <c r="B158" i="1"/>
  <c r="D157" i="1"/>
  <c r="C157" i="1"/>
  <c r="B157" i="1"/>
  <c r="C149" i="1"/>
  <c r="D148" i="1"/>
  <c r="B148" i="1"/>
  <c r="D146" i="1"/>
  <c r="C146" i="1"/>
  <c r="B146" i="1"/>
  <c r="D137" i="1"/>
  <c r="C137" i="1"/>
  <c r="B137" i="1"/>
  <c r="C136" i="1"/>
  <c r="D135" i="1"/>
  <c r="C135" i="1"/>
  <c r="G125" i="1"/>
  <c r="F125" i="1"/>
  <c r="E125" i="1"/>
  <c r="D125" i="1"/>
  <c r="C125" i="1"/>
  <c r="B125" i="1"/>
  <c r="D122" i="1"/>
  <c r="C122" i="1"/>
  <c r="B122" i="1"/>
  <c r="D121" i="1"/>
  <c r="C121" i="1"/>
  <c r="B121" i="1"/>
  <c r="D120" i="1"/>
  <c r="D119" i="1" s="1"/>
  <c r="C120" i="1"/>
  <c r="C119" i="1" s="1"/>
  <c r="B120" i="1"/>
  <c r="G119" i="1"/>
  <c r="F119" i="1"/>
  <c r="E119" i="1"/>
  <c r="B119" i="1"/>
  <c r="G115" i="1"/>
  <c r="F115" i="1"/>
  <c r="E115" i="1"/>
  <c r="D115" i="1"/>
  <c r="C115" i="1"/>
  <c r="B115" i="1"/>
  <c r="D114" i="1"/>
  <c r="D111" i="1" s="1"/>
  <c r="C114" i="1"/>
  <c r="B114" i="1"/>
  <c r="D113" i="1"/>
  <c r="C113" i="1"/>
  <c r="B113" i="1"/>
  <c r="D112" i="1"/>
  <c r="C112" i="1"/>
  <c r="C111" i="1" s="1"/>
  <c r="B112" i="1"/>
  <c r="B111" i="1" s="1"/>
  <c r="G111" i="1"/>
  <c r="F111" i="1"/>
  <c r="E111" i="1"/>
  <c r="G107" i="1"/>
  <c r="F107" i="1"/>
  <c r="E107" i="1"/>
  <c r="D107" i="1"/>
  <c r="C107" i="1"/>
  <c r="B107" i="1"/>
  <c r="B96" i="1"/>
  <c r="C96" i="1"/>
  <c r="D96" i="1"/>
  <c r="E96" i="1"/>
  <c r="F96" i="1"/>
  <c r="G96" i="1"/>
  <c r="H96" i="1"/>
  <c r="C89" i="1"/>
  <c r="B89" i="1"/>
  <c r="D87" i="1"/>
  <c r="D81" i="1"/>
  <c r="C79" i="1"/>
  <c r="B64" i="1"/>
  <c r="C64" i="1"/>
  <c r="D64" i="1"/>
  <c r="E64" i="1"/>
  <c r="F64" i="1"/>
  <c r="G64" i="1"/>
  <c r="N17" i="4" l="1"/>
  <c r="M17" i="4"/>
  <c r="H4" i="4"/>
  <c r="G24" i="4"/>
  <c r="E18" i="4"/>
  <c r="G4" i="4"/>
  <c r="E17" i="4"/>
  <c r="D11" i="4"/>
  <c r="H46" i="4"/>
  <c r="H37" i="3"/>
  <c r="E8" i="4"/>
  <c r="E11" i="4"/>
  <c r="E26" i="3"/>
  <c r="C28" i="3"/>
  <c r="C30" i="3" s="1"/>
  <c r="D44" i="3"/>
  <c r="E43" i="3"/>
  <c r="G46" i="3"/>
  <c r="B7" i="3"/>
  <c r="B10" i="3"/>
  <c r="F22" i="3"/>
  <c r="D24" i="3"/>
  <c r="D26" i="3" s="1"/>
  <c r="F32" i="3"/>
  <c r="F34" i="3" s="1"/>
  <c r="D39" i="3"/>
  <c r="C40" i="3"/>
  <c r="G49" i="3"/>
  <c r="I13" i="3"/>
  <c r="B19" i="3"/>
  <c r="B18" i="3"/>
  <c r="F24" i="3"/>
  <c r="F26" i="3" s="1"/>
  <c r="H46" i="3"/>
  <c r="C4" i="3"/>
  <c r="C7" i="3"/>
  <c r="C10" i="3"/>
  <c r="C12" i="3"/>
  <c r="C16" i="3"/>
  <c r="C18" i="3"/>
  <c r="B35" i="3"/>
  <c r="E39" i="3"/>
  <c r="F43" i="3"/>
  <c r="I46" i="3"/>
  <c r="D50" i="3"/>
  <c r="B6" i="4"/>
  <c r="C7" i="4"/>
  <c r="D8" i="4" s="1"/>
  <c r="D5" i="4"/>
  <c r="E47" i="4"/>
  <c r="H13" i="3"/>
  <c r="D43" i="3"/>
  <c r="I10" i="3"/>
  <c r="D13" i="3"/>
  <c r="D19" i="3"/>
  <c r="D35" i="3"/>
  <c r="D46" i="4" s="1"/>
  <c r="E50" i="3"/>
  <c r="I50" i="3"/>
  <c r="J50" i="3" s="1"/>
  <c r="B7" i="4"/>
  <c r="B11" i="4" s="1"/>
  <c r="I6" i="4"/>
  <c r="C5" i="4"/>
  <c r="D47" i="4"/>
  <c r="I19" i="3"/>
  <c r="D10" i="3"/>
  <c r="D16" i="3"/>
  <c r="F40" i="3"/>
  <c r="D41" i="3"/>
  <c r="E4" i="3"/>
  <c r="E7" i="3"/>
  <c r="E10" i="3"/>
  <c r="E13" i="3"/>
  <c r="E16" i="3"/>
  <c r="E19" i="3"/>
  <c r="G28" i="3"/>
  <c r="G30" i="3" s="1"/>
  <c r="G40" i="3"/>
  <c r="F41" i="3"/>
  <c r="H43" i="3"/>
  <c r="C47" i="3"/>
  <c r="F46" i="3"/>
  <c r="F50" i="3"/>
  <c r="I7" i="4"/>
  <c r="H6" i="4"/>
  <c r="B5" i="4"/>
  <c r="C47" i="4"/>
  <c r="D47" i="3"/>
  <c r="H7" i="4"/>
  <c r="H8" i="4" s="1"/>
  <c r="I5" i="4"/>
  <c r="B47" i="4"/>
  <c r="H5" i="3"/>
  <c r="H19" i="3"/>
  <c r="F7" i="3"/>
  <c r="F10" i="3"/>
  <c r="F13" i="3"/>
  <c r="F16" i="3"/>
  <c r="F19" i="3"/>
  <c r="H40" i="3"/>
  <c r="G4" i="3"/>
  <c r="G7" i="3"/>
  <c r="G10" i="3"/>
  <c r="G13" i="3"/>
  <c r="G16" i="3"/>
  <c r="G19" i="3"/>
  <c r="H22" i="3"/>
  <c r="H28" i="3"/>
  <c r="H30" i="3" s="1"/>
  <c r="C32" i="3"/>
  <c r="C34" i="3" s="1"/>
  <c r="I41" i="3"/>
  <c r="J41" i="3" s="1"/>
  <c r="B44" i="3"/>
  <c r="B43" i="3"/>
  <c r="E47" i="3"/>
  <c r="H47" i="3"/>
  <c r="H49" i="3"/>
  <c r="G7" i="4"/>
  <c r="G8" i="4" s="1"/>
  <c r="F6" i="4"/>
  <c r="I47" i="4"/>
  <c r="F7" i="4"/>
  <c r="F8" i="4" s="1"/>
  <c r="E6" i="4"/>
  <c r="G5" i="4"/>
  <c r="H47" i="4"/>
  <c r="H48" i="4" s="1"/>
  <c r="H55" i="4" s="1"/>
  <c r="H66" i="4" s="1"/>
  <c r="H24" i="4"/>
  <c r="C4" i="4"/>
  <c r="E9" i="4"/>
  <c r="D9" i="4"/>
  <c r="L23" i="3"/>
  <c r="N26" i="3"/>
  <c r="M24" i="3"/>
  <c r="K27" i="3"/>
  <c r="K31" i="3"/>
  <c r="N24" i="3"/>
  <c r="K41" i="3"/>
  <c r="M29" i="3"/>
  <c r="J49" i="3"/>
  <c r="K50" i="3"/>
  <c r="J21" i="3"/>
  <c r="I28" i="3"/>
  <c r="I30" i="3" s="1"/>
  <c r="F39" i="3"/>
  <c r="E22" i="3"/>
  <c r="C24" i="3"/>
  <c r="C26" i="3" s="1"/>
  <c r="G32" i="3"/>
  <c r="G34" i="3" s="1"/>
  <c r="C46" i="3"/>
  <c r="D49" i="3"/>
  <c r="L33" i="3"/>
  <c r="C35" i="3"/>
  <c r="C46" i="4" s="1"/>
  <c r="G39" i="3"/>
  <c r="B40" i="3"/>
  <c r="E41" i="3"/>
  <c r="C43" i="3"/>
  <c r="F44" i="3"/>
  <c r="D46" i="3"/>
  <c r="G47" i="3"/>
  <c r="E49" i="3"/>
  <c r="H50" i="3"/>
  <c r="F35" i="3"/>
  <c r="F46" i="4" s="1"/>
  <c r="F48" i="4" s="1"/>
  <c r="F55" i="4" s="1"/>
  <c r="F66" i="4" s="1"/>
  <c r="D37" i="3"/>
  <c r="B39" i="3"/>
  <c r="E40" i="3"/>
  <c r="H41" i="3"/>
  <c r="I44" i="3"/>
  <c r="B47" i="3"/>
  <c r="C50" i="3"/>
  <c r="D40" i="3"/>
  <c r="B50" i="3"/>
  <c r="B22" i="3"/>
  <c r="H24" i="3"/>
  <c r="H26" i="3" s="1"/>
  <c r="F28" i="3"/>
  <c r="F30" i="3" s="1"/>
  <c r="D32" i="3"/>
  <c r="D34" i="3" s="1"/>
  <c r="G35" i="3"/>
  <c r="G46" i="4" s="1"/>
  <c r="C39" i="3"/>
  <c r="L30" i="3"/>
  <c r="M30" i="3" s="1"/>
  <c r="N30" i="3" s="1"/>
  <c r="E35" i="3"/>
  <c r="E46" i="4" s="1"/>
  <c r="I35" i="3"/>
  <c r="I46" i="4" s="1"/>
  <c r="K15" i="3"/>
  <c r="L14" i="3" s="1"/>
  <c r="B6" i="3"/>
  <c r="B16" i="3"/>
  <c r="C13" i="3"/>
  <c r="C19" i="3"/>
  <c r="D6" i="3"/>
  <c r="D9" i="3"/>
  <c r="D12" i="3"/>
  <c r="D15" i="3"/>
  <c r="D18" i="3"/>
  <c r="C6" i="3"/>
  <c r="C9" i="3"/>
  <c r="E6" i="3"/>
  <c r="E9" i="3"/>
  <c r="E12" i="3"/>
  <c r="E15" i="3"/>
  <c r="E18" i="3"/>
  <c r="B9" i="3"/>
  <c r="F6" i="3"/>
  <c r="F9" i="3"/>
  <c r="F12" i="3"/>
  <c r="F15" i="3"/>
  <c r="F18" i="3"/>
  <c r="B13" i="3"/>
  <c r="G6" i="3"/>
  <c r="G9" i="3"/>
  <c r="G12" i="3"/>
  <c r="G15" i="3"/>
  <c r="G18" i="3"/>
  <c r="B15" i="3"/>
  <c r="H6" i="3"/>
  <c r="H9" i="3"/>
  <c r="H12" i="3"/>
  <c r="H15" i="3"/>
  <c r="H16" i="3"/>
  <c r="H18" i="3"/>
  <c r="I4" i="3"/>
  <c r="I6" i="3"/>
  <c r="I9" i="3"/>
  <c r="I12" i="3"/>
  <c r="I18" i="3"/>
  <c r="D48" i="4" l="1"/>
  <c r="D55" i="4" s="1"/>
  <c r="D66" i="4" s="1"/>
  <c r="J12" i="3"/>
  <c r="K11" i="3" s="1"/>
  <c r="J9" i="3"/>
  <c r="K8" i="3" s="1"/>
  <c r="K6" i="4" s="1"/>
  <c r="C9" i="4"/>
  <c r="C11" i="4"/>
  <c r="C8" i="4"/>
  <c r="E13" i="4"/>
  <c r="E14" i="4"/>
  <c r="F49" i="4"/>
  <c r="H9" i="4"/>
  <c r="H11" i="4"/>
  <c r="F9" i="4"/>
  <c r="F11" i="4"/>
  <c r="I48" i="4"/>
  <c r="I55" i="4" s="1"/>
  <c r="I66" i="4" s="1"/>
  <c r="C48" i="4"/>
  <c r="C55" i="4" s="1"/>
  <c r="C66" i="4" s="1"/>
  <c r="H49" i="4"/>
  <c r="D13" i="4"/>
  <c r="D14" i="4"/>
  <c r="G9" i="4"/>
  <c r="G11" i="4"/>
  <c r="B13" i="4"/>
  <c r="B14" i="4"/>
  <c r="H7" i="3"/>
  <c r="H5" i="4"/>
  <c r="I9" i="4"/>
  <c r="I11" i="4"/>
  <c r="I8" i="4"/>
  <c r="E48" i="4"/>
  <c r="E55" i="4" s="1"/>
  <c r="E66" i="4" s="1"/>
  <c r="B36" i="3"/>
  <c r="B37" i="3"/>
  <c r="B46" i="4"/>
  <c r="B48" i="4" s="1"/>
  <c r="B55" i="4" s="1"/>
  <c r="B66" i="4" s="1"/>
  <c r="G48" i="4"/>
  <c r="G55" i="4" s="1"/>
  <c r="G66" i="4" s="1"/>
  <c r="C37" i="3"/>
  <c r="C36" i="3"/>
  <c r="L41" i="3"/>
  <c r="M33" i="3"/>
  <c r="L32" i="3"/>
  <c r="L31" i="3" s="1"/>
  <c r="J45" i="3"/>
  <c r="J46" i="3" s="1"/>
  <c r="J22" i="3"/>
  <c r="J48" i="3"/>
  <c r="J38" i="3" s="1"/>
  <c r="D36" i="3"/>
  <c r="I36" i="3"/>
  <c r="I37" i="3"/>
  <c r="J37" i="3" s="1"/>
  <c r="K37" i="3" s="1"/>
  <c r="L37" i="3" s="1"/>
  <c r="M37" i="3" s="1"/>
  <c r="N37" i="3" s="1"/>
  <c r="E37" i="3"/>
  <c r="E36" i="3"/>
  <c r="M28" i="3"/>
  <c r="N29" i="3"/>
  <c r="N28" i="3" s="1"/>
  <c r="G37" i="3"/>
  <c r="G36" i="3"/>
  <c r="H36" i="3"/>
  <c r="K49" i="3"/>
  <c r="L50" i="3"/>
  <c r="L27" i="3"/>
  <c r="M27" i="3" s="1"/>
  <c r="N27" i="3" s="1"/>
  <c r="F37" i="3"/>
  <c r="F36" i="3"/>
  <c r="L28" i="3"/>
  <c r="K21" i="3"/>
  <c r="M23" i="3"/>
  <c r="K9" i="3"/>
  <c r="L8" i="3" s="1"/>
  <c r="L6" i="4" s="1"/>
  <c r="L15" i="3"/>
  <c r="M14" i="3" s="1"/>
  <c r="D49" i="4" l="1"/>
  <c r="E49" i="4"/>
  <c r="K7" i="4"/>
  <c r="K12" i="3"/>
  <c r="L11" i="3" s="1"/>
  <c r="L7" i="4" s="1"/>
  <c r="H13" i="4"/>
  <c r="H14" i="4"/>
  <c r="J4" i="4"/>
  <c r="C49" i="4"/>
  <c r="G13" i="4"/>
  <c r="G14" i="4"/>
  <c r="G49" i="4"/>
  <c r="B49" i="4"/>
  <c r="F14" i="4"/>
  <c r="F13" i="4"/>
  <c r="I49" i="4"/>
  <c r="I13" i="4"/>
  <c r="I14" i="4"/>
  <c r="C14" i="4"/>
  <c r="C13" i="4"/>
  <c r="L21" i="3"/>
  <c r="K22" i="3"/>
  <c r="K45" i="3"/>
  <c r="K46" i="3" s="1"/>
  <c r="K48" i="3"/>
  <c r="K38" i="3" s="1"/>
  <c r="K35" i="3"/>
  <c r="M41" i="3"/>
  <c r="M50" i="3"/>
  <c r="L49" i="3"/>
  <c r="M32" i="3"/>
  <c r="M31" i="3" s="1"/>
  <c r="N33" i="3"/>
  <c r="N32" i="3" s="1"/>
  <c r="J35" i="3"/>
  <c r="N23" i="3"/>
  <c r="J39" i="3"/>
  <c r="J40" i="3"/>
  <c r="L9" i="3"/>
  <c r="M8" i="3" s="1"/>
  <c r="M6" i="4" s="1"/>
  <c r="M15" i="3"/>
  <c r="N14" i="3" s="1"/>
  <c r="L12" i="3" l="1"/>
  <c r="M11" i="3" s="1"/>
  <c r="M7" i="4" s="1"/>
  <c r="M8" i="4" s="1"/>
  <c r="L8" i="4"/>
  <c r="N31" i="3"/>
  <c r="N21" i="3" s="1"/>
  <c r="M21" i="3"/>
  <c r="K36" i="3"/>
  <c r="K42" i="3"/>
  <c r="K40" i="3"/>
  <c r="K39" i="3"/>
  <c r="N41" i="3"/>
  <c r="J42" i="3"/>
  <c r="J36" i="3"/>
  <c r="L22" i="3"/>
  <c r="L48" i="3"/>
  <c r="L38" i="3" s="1"/>
  <c r="L45" i="3"/>
  <c r="L46" i="3" s="1"/>
  <c r="L35" i="3"/>
  <c r="N50" i="3"/>
  <c r="N49" i="3" s="1"/>
  <c r="M49" i="3"/>
  <c r="M9" i="3"/>
  <c r="N8" i="3"/>
  <c r="N6" i="4" s="1"/>
  <c r="M12" i="3"/>
  <c r="N11" i="3" s="1"/>
  <c r="N7" i="4" s="1"/>
  <c r="N15" i="3"/>
  <c r="N8" i="4" l="1"/>
  <c r="N45" i="3"/>
  <c r="N48" i="3"/>
  <c r="N38" i="3" s="1"/>
  <c r="N35" i="3"/>
  <c r="N22" i="3"/>
  <c r="L36" i="3"/>
  <c r="L42" i="3"/>
  <c r="L39" i="3"/>
  <c r="L40" i="3"/>
  <c r="M45" i="3"/>
  <c r="M46" i="3" s="1"/>
  <c r="M35" i="3"/>
  <c r="M48" i="3"/>
  <c r="M38" i="3" s="1"/>
  <c r="M22" i="3"/>
  <c r="K44" i="3"/>
  <c r="K43" i="3"/>
  <c r="J44" i="3"/>
  <c r="J43" i="3"/>
  <c r="N9" i="3"/>
  <c r="N12" i="3"/>
  <c r="N40" i="3" l="1"/>
  <c r="N39" i="3"/>
  <c r="L44" i="3"/>
  <c r="L43" i="3"/>
  <c r="M39" i="3"/>
  <c r="M40" i="3"/>
  <c r="M42" i="3"/>
  <c r="M36" i="3"/>
  <c r="N42" i="3"/>
  <c r="N36" i="3"/>
  <c r="N46" i="3"/>
  <c r="M43" i="3" l="1"/>
  <c r="M44" i="3"/>
  <c r="N43" i="3"/>
  <c r="N4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75" i="1" l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H163" i="1"/>
  <c r="H164" i="1" s="1"/>
  <c r="H165" i="1" s="1"/>
  <c r="I163" i="1"/>
  <c r="I164" i="1" s="1"/>
  <c r="I165" i="1" s="1"/>
  <c r="I161" i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64" i="1" l="1"/>
  <c r="B165" i="1" s="1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H124" i="1" l="1"/>
  <c r="H131" i="1" s="1"/>
  <c r="H132" i="1" s="1"/>
  <c r="C124" i="1"/>
  <c r="I124" i="1"/>
  <c r="E124" i="1"/>
  <c r="F124" i="1"/>
  <c r="D124" i="1"/>
  <c r="B124" i="1"/>
  <c r="B131" i="1" s="1"/>
  <c r="G124" i="1"/>
  <c r="E131" i="1" l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F10" i="1" s="1"/>
  <c r="E4" i="1"/>
  <c r="E10" i="1" s="1"/>
  <c r="D4" i="1"/>
  <c r="D10" i="1" s="1"/>
  <c r="C4" i="1"/>
  <c r="C10" i="1" s="1"/>
  <c r="B4" i="1"/>
  <c r="I4" i="1"/>
  <c r="I10" i="1" s="1"/>
  <c r="B10" i="1" l="1"/>
  <c r="B12" i="1" s="1"/>
  <c r="B20" i="1" s="1"/>
  <c r="H10" i="1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B60" i="1"/>
  <c r="E60" i="1"/>
  <c r="F60" i="1"/>
  <c r="G10" i="1"/>
  <c r="I59" i="1"/>
  <c r="I60" i="1" s="1"/>
  <c r="G60" i="1"/>
  <c r="H60" i="1"/>
  <c r="C60" i="1"/>
  <c r="D60" i="1"/>
  <c r="B143" i="1" l="1"/>
  <c r="I64" i="1"/>
  <c r="I76" i="1" s="1"/>
  <c r="I94" i="1" s="1"/>
  <c r="G12" i="1"/>
  <c r="G20" i="1" s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J7" i="3" l="1"/>
  <c r="J6" i="3"/>
  <c r="K5" i="3" s="1"/>
  <c r="K3" i="3" s="1"/>
  <c r="K4" i="3" s="1"/>
  <c r="J16" i="3"/>
  <c r="J19" i="3"/>
  <c r="J10" i="3"/>
  <c r="J5" i="4"/>
  <c r="J7" i="4" s="1"/>
  <c r="J8" i="4" l="1"/>
  <c r="J10" i="4" s="1"/>
  <c r="J11" i="4" s="1"/>
  <c r="J9" i="4"/>
  <c r="K8" i="4"/>
  <c r="K10" i="4" s="1"/>
  <c r="K10" i="3"/>
  <c r="K3" i="4"/>
  <c r="K4" i="4" s="1"/>
  <c r="K19" i="3"/>
  <c r="K16" i="3"/>
  <c r="K13" i="3"/>
  <c r="K5" i="4"/>
  <c r="K6" i="3"/>
  <c r="L5" i="3" s="1"/>
  <c r="J13" i="3"/>
  <c r="K7" i="3"/>
  <c r="L10" i="4" l="1"/>
  <c r="K11" i="4"/>
  <c r="K63" i="4"/>
  <c r="K52" i="4"/>
  <c r="K27" i="4"/>
  <c r="K61" i="4"/>
  <c r="K53" i="4"/>
  <c r="K28" i="4"/>
  <c r="K29" i="4"/>
  <c r="K54" i="4"/>
  <c r="K36" i="4"/>
  <c r="K30" i="4"/>
  <c r="K50" i="4"/>
  <c r="K62" i="4"/>
  <c r="K51" i="4"/>
  <c r="K26" i="4"/>
  <c r="K37" i="4"/>
  <c r="K57" i="4"/>
  <c r="K46" i="4"/>
  <c r="K21" i="4"/>
  <c r="J59" i="4"/>
  <c r="K34" i="4"/>
  <c r="K43" i="4" s="1"/>
  <c r="K47" i="4"/>
  <c r="K56" i="4"/>
  <c r="K35" i="4"/>
  <c r="K25" i="4"/>
  <c r="K38" i="4"/>
  <c r="K22" i="4"/>
  <c r="K48" i="4"/>
  <c r="J65" i="4"/>
  <c r="K49" i="4"/>
  <c r="J14" i="4"/>
  <c r="J13" i="4"/>
  <c r="L3" i="3"/>
  <c r="L4" i="3" s="1"/>
  <c r="L5" i="4"/>
  <c r="L6" i="3"/>
  <c r="M5" i="3" s="1"/>
  <c r="K9" i="4"/>
  <c r="L47" i="4" l="1"/>
  <c r="L56" i="4"/>
  <c r="L51" i="4"/>
  <c r="K55" i="4"/>
  <c r="L48" i="4"/>
  <c r="L27" i="4"/>
  <c r="J60" i="4"/>
  <c r="K59" i="4"/>
  <c r="J64" i="4"/>
  <c r="J66" i="4" s="1"/>
  <c r="L21" i="4"/>
  <c r="L46" i="4"/>
  <c r="L26" i="4"/>
  <c r="K65" i="4"/>
  <c r="L30" i="4"/>
  <c r="K31" i="4"/>
  <c r="L25" i="4"/>
  <c r="K58" i="4"/>
  <c r="L57" i="4"/>
  <c r="K14" i="4"/>
  <c r="K13" i="4"/>
  <c r="L29" i="4"/>
  <c r="L11" i="4"/>
  <c r="M10" i="4"/>
  <c r="L3" i="4"/>
  <c r="L4" i="4" s="1"/>
  <c r="K67" i="4" s="1"/>
  <c r="L10" i="3"/>
  <c r="L19" i="3"/>
  <c r="L13" i="3"/>
  <c r="L16" i="3"/>
  <c r="M3" i="3"/>
  <c r="M6" i="3"/>
  <c r="N5" i="3" s="1"/>
  <c r="M5" i="4"/>
  <c r="L7" i="3"/>
  <c r="N10" i="4" l="1"/>
  <c r="N11" i="4" s="1"/>
  <c r="M11" i="4"/>
  <c r="L14" i="4"/>
  <c r="L13" i="4"/>
  <c r="L31" i="4"/>
  <c r="L59" i="4"/>
  <c r="K60" i="4"/>
  <c r="L55" i="4"/>
  <c r="L62" i="4"/>
  <c r="L61" i="4"/>
  <c r="L54" i="4"/>
  <c r="L63" i="4"/>
  <c r="L49" i="4"/>
  <c r="L53" i="4"/>
  <c r="L58" i="4"/>
  <c r="K64" i="4"/>
  <c r="K66" i="4" s="1"/>
  <c r="L52" i="4"/>
  <c r="L50" i="4"/>
  <c r="L28" i="4"/>
  <c r="M7" i="3"/>
  <c r="M4" i="3"/>
  <c r="N5" i="4"/>
  <c r="N3" i="3"/>
  <c r="N4" i="3" s="1"/>
  <c r="N6" i="3"/>
  <c r="M3" i="4"/>
  <c r="M4" i="4" s="1"/>
  <c r="M26" i="4" s="1"/>
  <c r="M10" i="3"/>
  <c r="M13" i="3"/>
  <c r="M16" i="3"/>
  <c r="M19" i="3"/>
  <c r="L9" i="4"/>
  <c r="M30" i="4" l="1"/>
  <c r="M29" i="4"/>
  <c r="M25" i="4"/>
  <c r="M63" i="4"/>
  <c r="M56" i="4"/>
  <c r="L66" i="4"/>
  <c r="M47" i="4"/>
  <c r="N47" i="4" s="1"/>
  <c r="M54" i="4"/>
  <c r="L65" i="4"/>
  <c r="M48" i="4"/>
  <c r="M27" i="4"/>
  <c r="M46" i="4"/>
  <c r="N46" i="4" s="1"/>
  <c r="M61" i="4"/>
  <c r="N61" i="4" s="1"/>
  <c r="M51" i="4"/>
  <c r="N51" i="4" s="1"/>
  <c r="M21" i="4"/>
  <c r="N21" i="4" s="1"/>
  <c r="L67" i="4"/>
  <c r="L64" i="4"/>
  <c r="M62" i="4"/>
  <c r="M14" i="4"/>
  <c r="M13" i="4"/>
  <c r="M52" i="4"/>
  <c r="N52" i="4" s="1"/>
  <c r="M53" i="4"/>
  <c r="N53" i="4" s="1"/>
  <c r="M49" i="4"/>
  <c r="N49" i="4" s="1"/>
  <c r="M28" i="4"/>
  <c r="M50" i="4"/>
  <c r="M57" i="4"/>
  <c r="L60" i="4"/>
  <c r="M59" i="4"/>
  <c r="N14" i="4"/>
  <c r="N13" i="4"/>
  <c r="M9" i="4"/>
  <c r="N16" i="3"/>
  <c r="N3" i="4"/>
  <c r="N4" i="4" s="1"/>
  <c r="N26" i="4" s="1"/>
  <c r="N13" i="3"/>
  <c r="N10" i="3"/>
  <c r="N19" i="3"/>
  <c r="N7" i="3"/>
  <c r="M58" i="4" l="1"/>
  <c r="M64" i="4" s="1"/>
  <c r="N56" i="4"/>
  <c r="N25" i="4"/>
  <c r="M31" i="4"/>
  <c r="N57" i="4"/>
  <c r="N58" i="4" s="1"/>
  <c r="M55" i="4"/>
  <c r="M66" i="4" s="1"/>
  <c r="N48" i="4"/>
  <c r="N55" i="4" s="1"/>
  <c r="N29" i="4"/>
  <c r="N59" i="4"/>
  <c r="N60" i="4" s="1"/>
  <c r="M60" i="4"/>
  <c r="N63" i="4"/>
  <c r="N27" i="4"/>
  <c r="N62" i="4"/>
  <c r="N30" i="4"/>
  <c r="N50" i="4"/>
  <c r="M65" i="4"/>
  <c r="N65" i="4" s="1"/>
  <c r="N28" i="4"/>
  <c r="M67" i="4"/>
  <c r="N67" i="4" s="1"/>
  <c r="N54" i="4"/>
  <c r="N9" i="4"/>
  <c r="N64" i="4" l="1"/>
  <c r="N66" i="4" s="1"/>
  <c r="N31" i="4"/>
  <c r="N24" i="4"/>
  <c r="N23" i="4"/>
  <c r="K24" i="4"/>
  <c r="L24" i="4"/>
  <c r="J24" i="4"/>
  <c r="J23" i="4"/>
  <c r="K23" i="4"/>
  <c r="L23" i="4"/>
  <c r="M23" i="4"/>
  <c r="M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<sst xmlns="http://schemas.openxmlformats.org/spreadsheetml/2006/main" count="378" uniqueCount="204">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</sst>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9" fontId="12" fillId="0" borderId="0" xfId="2" applyFont="1"/>
    <xf numFmtId="9" fontId="11" fillId="0" borderId="0" xfId="2" applyFont="1"/>
    <xf numFmtId="2" fontId="2" fillId="0" borderId="0" xfId="0" applyNumberFormat="1" applyFont="1"/>
    <xf numFmtId="9" fontId="2" fillId="0" borderId="0" xfId="2" applyFont="1"/>
    <xf numFmtId="167" fontId="0" fillId="0" borderId="0" xfId="1" applyNumberFormat="1" applyFont="1"/>
    <xf numFmtId="10" fontId="0" fillId="0" borderId="0" xfId="2" applyNumberFormat="1" applyFont="1"/>
    <xf numFmtId="165" fontId="2" fillId="0" borderId="4" xfId="2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1710155371_Task%209%20-%20Building%20Operational%20Forecast%20Model.xlsx" TargetMode="External"/><Relationship Id="rId1" Type="http://schemas.openxmlformats.org/officeDocument/2006/relationships/externalLinkPath" Target="/Users/Student/Downloads/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24">
          <cell r="B124">
            <v>28701</v>
          </cell>
          <cell r="C124">
            <v>30507</v>
          </cell>
          <cell r="D124">
            <v>32233</v>
          </cell>
          <cell r="E124">
            <v>34485</v>
          </cell>
          <cell r="F124">
            <v>37218</v>
          </cell>
          <cell r="G124">
            <v>35568</v>
          </cell>
          <cell r="H124">
            <v>42293</v>
          </cell>
          <cell r="I124">
            <v>44436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42">
          <cell r="B142">
            <v>4233</v>
          </cell>
          <cell r="C142">
            <v>4642</v>
          </cell>
          <cell r="D142">
            <v>4945</v>
          </cell>
          <cell r="E142">
            <v>4379</v>
          </cell>
          <cell r="F142">
            <v>4850</v>
          </cell>
          <cell r="G142">
            <v>2976</v>
          </cell>
          <cell r="H142">
            <v>6923</v>
          </cell>
          <cell r="I142">
            <v>6856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53">
          <cell r="B153">
            <v>3011</v>
          </cell>
          <cell r="C153">
            <v>3520</v>
          </cell>
          <cell r="D153">
            <v>3989</v>
          </cell>
          <cell r="E153">
            <v>4454</v>
          </cell>
          <cell r="F153">
            <v>4744</v>
          </cell>
          <cell r="G153">
            <v>4866</v>
          </cell>
          <cell r="H153">
            <v>4904</v>
          </cell>
          <cell r="I153">
            <v>4791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64">
          <cell r="B164">
            <v>963</v>
          </cell>
          <cell r="C164">
            <v>1143</v>
          </cell>
          <cell r="D164">
            <v>1092</v>
          </cell>
          <cell r="E164">
            <v>1028</v>
          </cell>
          <cell r="F164">
            <v>1119</v>
          </cell>
          <cell r="G164">
            <v>1086</v>
          </cell>
          <cell r="H164">
            <v>695</v>
          </cell>
          <cell r="I164">
            <v>758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72">
          <cell r="B172">
            <v>513</v>
          </cell>
          <cell r="C172">
            <v>538</v>
          </cell>
          <cell r="D172">
            <v>587</v>
          </cell>
          <cell r="E172">
            <v>604</v>
          </cell>
          <cell r="F172">
            <v>558</v>
          </cell>
          <cell r="G172">
            <v>584</v>
          </cell>
          <cell r="H172">
            <v>577</v>
          </cell>
          <cell r="I172">
            <v>561</v>
          </cell>
        </row>
        <row r="180">
          <cell r="B180" t="str">
            <v>-</v>
          </cell>
          <cell r="C180">
            <v>9.3228309428638606E-2</v>
          </cell>
          <cell r="D180">
            <v>4.1402301322722872E-2</v>
          </cell>
          <cell r="E180">
            <v>-3.7381247418422137E-2</v>
          </cell>
          <cell r="F180">
            <v>7.7558463848959452E-2</v>
          </cell>
          <cell r="G180">
            <v>-7.1279243404678949E-2</v>
          </cell>
          <cell r="H180">
            <v>0.24815092721620752</v>
          </cell>
          <cell r="I180">
            <v>0.05</v>
          </cell>
        </row>
        <row r="182">
          <cell r="B182" t="str">
            <v>-</v>
          </cell>
          <cell r="C182">
            <v>-0.12742718446601942</v>
          </cell>
          <cell r="D182">
            <v>-0.10152990264255911</v>
          </cell>
          <cell r="E182">
            <v>-7.8947368421052627E-2</v>
          </cell>
          <cell r="F182">
            <v>3.3613445378151263E-3</v>
          </cell>
          <cell r="G182">
            <v>-0.135678391959799</v>
          </cell>
          <cell r="H182">
            <v>-1.7441860465116279E-2</v>
          </cell>
          <cell r="I182">
            <v>0.25</v>
          </cell>
        </row>
        <row r="184">
          <cell r="B184" t="str">
            <v>-</v>
          </cell>
          <cell r="C184">
            <v>3.4871358707208165E-2</v>
          </cell>
          <cell r="D184">
            <v>2.6299568522703924E-2</v>
          </cell>
          <cell r="E184">
            <v>0.17617617617617617</v>
          </cell>
          <cell r="F184">
            <v>7.114893617021277E-2</v>
          </cell>
          <cell r="G184">
            <v>-6.3721595423486418E-2</v>
          </cell>
          <cell r="H184">
            <v>0.18295994568906992</v>
          </cell>
          <cell r="I184">
            <v>0.09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6" activePane="bottomLeft" state="frozen"/>
      <selection pane="bottomLeft" activeCell="A100" sqref="A100"/>
    </sheetView>
  </sheetViews>
  <sheetFormatPr defaultRowHeight="14.4" x14ac:dyDescent="0.3"/>
  <cols>
    <col min="1" max="1" width="73.332031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2.46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</v>
      </c>
      <c r="D18">
        <v>1692</v>
      </c>
      <c r="E18">
        <v>1659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0.03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f>(2924+2386)+150</f>
        <v>5460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10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f>-1105+13</f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-44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-63</v>
      </c>
      <c r="C87" s="3">
        <v>-67</v>
      </c>
      <c r="D87" s="3">
        <f>327-29</f>
        <v>298</v>
      </c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-19</v>
      </c>
      <c r="C88" s="3">
        <v>-7</v>
      </c>
      <c r="D88" s="3">
        <v>-17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f>514+218</f>
        <v>732</v>
      </c>
      <c r="C89" s="3">
        <f>281+507</f>
        <v>788</v>
      </c>
      <c r="D89" s="3">
        <v>489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-2534</v>
      </c>
      <c r="C90" s="3">
        <v>-3238</v>
      </c>
      <c r="D90" s="3">
        <v>-3223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-899</v>
      </c>
      <c r="C91" s="3">
        <v>-1022</v>
      </c>
      <c r="D91" s="3">
        <v>-1133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 t="shared" ref="B96:H96" si="17">+B94+B95</f>
        <v>3852</v>
      </c>
      <c r="C96" s="7">
        <f t="shared" si="17"/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G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 s="8">
        <v>9299</v>
      </c>
      <c r="D108" s="8">
        <v>9684</v>
      </c>
      <c r="E10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 s="8">
        <v>4746</v>
      </c>
      <c r="D109" s="8">
        <v>4886</v>
      </c>
      <c r="E109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G111" si="21">+SUM(B112:B114)</f>
        <v>7126</v>
      </c>
      <c r="C111" s="3">
        <f t="shared" si="21"/>
        <v>7315</v>
      </c>
      <c r="D111" s="3">
        <f t="shared" si="21"/>
        <v>7698</v>
      </c>
      <c r="E111" s="3">
        <f t="shared" si="21"/>
        <v>9242</v>
      </c>
      <c r="F111" s="3">
        <f t="shared" si="21"/>
        <v>9812</v>
      </c>
      <c r="G111" s="3">
        <f t="shared" si="21"/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f>827+3876</f>
        <v>4703</v>
      </c>
      <c r="C112">
        <f>3985+882</f>
        <v>4867</v>
      </c>
      <c r="D112">
        <f>4068+927</f>
        <v>4995</v>
      </c>
      <c r="E112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f>1552+499</f>
        <v>2051</v>
      </c>
      <c r="C113">
        <f>1628+463</f>
        <v>2091</v>
      </c>
      <c r="D113">
        <f>471+1868</f>
        <v>2339</v>
      </c>
      <c r="E113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f>95+277</f>
        <v>372</v>
      </c>
      <c r="C114">
        <f>86+271</f>
        <v>357</v>
      </c>
      <c r="D114">
        <f>275+89</f>
        <v>364</v>
      </c>
      <c r="E114">
        <v>427</v>
      </c>
      <c r="F114" s="8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G115" si="23">+SUM(B116:B118)</f>
        <v>3067</v>
      </c>
      <c r="C115" s="3">
        <f t="shared" si="23"/>
        <v>3785</v>
      </c>
      <c r="D115" s="3">
        <f t="shared" si="23"/>
        <v>4237</v>
      </c>
      <c r="E115" s="3">
        <f t="shared" si="23"/>
        <v>5134</v>
      </c>
      <c r="F115" s="3">
        <f t="shared" si="23"/>
        <v>6208</v>
      </c>
      <c r="G115" s="3">
        <f t="shared" si="23"/>
        <v>6679</v>
      </c>
      <c r="H115" s="3">
        <f t="shared" ref="H115" si="24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 s="8">
        <v>2599</v>
      </c>
      <c r="D116" s="8">
        <v>2920</v>
      </c>
      <c r="E116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 s="8">
        <v>1055</v>
      </c>
      <c r="D117" s="8">
        <v>1188</v>
      </c>
      <c r="E117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G119" si="25">+SUM(B120:B122)</f>
        <v>4653</v>
      </c>
      <c r="C119" s="3">
        <f t="shared" si="25"/>
        <v>4570</v>
      </c>
      <c r="D119" s="3">
        <f t="shared" si="25"/>
        <v>5009</v>
      </c>
      <c r="E119" s="3">
        <f t="shared" si="25"/>
        <v>5166</v>
      </c>
      <c r="F119" s="3">
        <f t="shared" si="25"/>
        <v>5254</v>
      </c>
      <c r="G119" s="3">
        <f t="shared" si="25"/>
        <v>5028</v>
      </c>
      <c r="H119" s="3">
        <f t="shared" ref="H119" si="26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f>452+2641</f>
        <v>3093</v>
      </c>
      <c r="C120">
        <f>570+2536</f>
        <v>3106</v>
      </c>
      <c r="D120">
        <f>666+2816</f>
        <v>3482</v>
      </c>
      <c r="E120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f>230+1021</f>
        <v>1251</v>
      </c>
      <c r="C121">
        <f>228+947</f>
        <v>1175</v>
      </c>
      <c r="D121">
        <f>275+966</f>
        <v>1241</v>
      </c>
      <c r="E121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f>73+236</f>
        <v>309</v>
      </c>
      <c r="C122">
        <f>71+218</f>
        <v>289</v>
      </c>
      <c r="D122">
        <f>213+73</f>
        <v>286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7">+B107+B111+B115+B119+B123</f>
        <v>28701</v>
      </c>
      <c r="C124" s="5">
        <f t="shared" si="27"/>
        <v>30507</v>
      </c>
      <c r="D124" s="5">
        <f t="shared" si="27"/>
        <v>32233</v>
      </c>
      <c r="E124" s="5">
        <f t="shared" si="27"/>
        <v>34485</v>
      </c>
      <c r="F124" s="5">
        <f t="shared" si="27"/>
        <v>37218</v>
      </c>
      <c r="G124" s="5">
        <f t="shared" si="27"/>
        <v>35568</v>
      </c>
      <c r="H124" s="5">
        <f t="shared" si="27"/>
        <v>42293</v>
      </c>
      <c r="I124" s="5">
        <f t="shared" si="27"/>
        <v>44436</v>
      </c>
    </row>
    <row r="125" spans="1:9" x14ac:dyDescent="0.3">
      <c r="A125" s="2" t="s">
        <v>104</v>
      </c>
      <c r="B125" s="3">
        <f t="shared" ref="B125:G125" si="28">+SUM(B126:B129)</f>
        <v>1982</v>
      </c>
      <c r="C125" s="3">
        <f t="shared" si="28"/>
        <v>1955</v>
      </c>
      <c r="D125" s="3">
        <f t="shared" si="28"/>
        <v>2042</v>
      </c>
      <c r="E125" s="3">
        <f t="shared" si="28"/>
        <v>1886</v>
      </c>
      <c r="F125" s="3">
        <f t="shared" si="28"/>
        <v>1906</v>
      </c>
      <c r="G125" s="3">
        <f t="shared" si="28"/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1886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9">+B124+B125+B130</f>
        <v>30601</v>
      </c>
      <c r="C131" s="7">
        <f t="shared" si="29"/>
        <v>32376</v>
      </c>
      <c r="D131" s="7">
        <f t="shared" si="29"/>
        <v>34350</v>
      </c>
      <c r="E131" s="7">
        <f t="shared" si="29"/>
        <v>36397</v>
      </c>
      <c r="F131" s="7">
        <f t="shared" si="29"/>
        <v>39117</v>
      </c>
      <c r="G131" s="7">
        <f t="shared" si="29"/>
        <v>37403</v>
      </c>
      <c r="H131" s="7">
        <f t="shared" si="29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0">+C131-C2</f>
        <v>0</v>
      </c>
      <c r="D132" s="13">
        <f t="shared" si="30"/>
        <v>0</v>
      </c>
      <c r="E132" s="13">
        <f t="shared" si="30"/>
        <v>0</v>
      </c>
      <c r="F132" s="13">
        <f t="shared" si="30"/>
        <v>0</v>
      </c>
      <c r="G132" s="13">
        <f t="shared" si="30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1275</v>
      </c>
      <c r="C135" s="3">
        <f>1434</f>
        <v>1434</v>
      </c>
      <c r="D135" s="3">
        <f>244+1203</f>
        <v>1447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249</v>
      </c>
      <c r="C136" s="3">
        <f>1372+174</f>
        <v>1546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f>993+100+818</f>
        <v>1911</v>
      </c>
      <c r="C137" s="3">
        <f>892+289</f>
        <v>1181</v>
      </c>
      <c r="D137" s="3">
        <f>224+816</f>
        <v>1040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31">+SUM(B134:B138)</f>
        <v>4813</v>
      </c>
      <c r="C139" s="5">
        <f t="shared" si="31"/>
        <v>5328</v>
      </c>
      <c r="D139" s="5">
        <f t="shared" si="31"/>
        <v>5192</v>
      </c>
      <c r="E139" s="5">
        <f t="shared" si="31"/>
        <v>5525</v>
      </c>
      <c r="F139" s="5">
        <f t="shared" si="31"/>
        <v>6357</v>
      </c>
      <c r="G139" s="5">
        <f t="shared" si="31"/>
        <v>4646</v>
      </c>
      <c r="H139" s="5">
        <f t="shared" si="31"/>
        <v>8641</v>
      </c>
      <c r="I139" s="5">
        <f t="shared" si="3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2">+SUM(B139:B141)</f>
        <v>4233</v>
      </c>
      <c r="C142" s="7">
        <f t="shared" ref="C142" si="33">+SUM(C139:C141)</f>
        <v>4642</v>
      </c>
      <c r="D142" s="7">
        <f t="shared" ref="D142" si="34">+SUM(D139:D141)</f>
        <v>4945</v>
      </c>
      <c r="E142" s="7">
        <f t="shared" ref="E142" si="35">+SUM(E139:E141)</f>
        <v>4379</v>
      </c>
      <c r="F142" s="7">
        <f t="shared" ref="F142" si="36">+SUM(F139:F141)</f>
        <v>4850</v>
      </c>
      <c r="G142" s="7">
        <f t="shared" ref="G142" si="37">+SUM(G139:G141)</f>
        <v>2976</v>
      </c>
      <c r="H142" s="7">
        <f t="shared" ref="H142" si="38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9">+B142-B10-B8</f>
        <v>0</v>
      </c>
      <c r="C143" s="13">
        <f t="shared" si="39"/>
        <v>0</v>
      </c>
      <c r="D143" s="13">
        <f t="shared" si="39"/>
        <v>0</v>
      </c>
      <c r="E143" s="13">
        <f t="shared" si="39"/>
        <v>0</v>
      </c>
      <c r="F143" s="13">
        <f t="shared" si="39"/>
        <v>0</v>
      </c>
      <c r="G143" s="13">
        <f t="shared" si="39"/>
        <v>0</v>
      </c>
      <c r="H143" s="13">
        <f t="shared" si="39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f>451+47</f>
        <v>498</v>
      </c>
      <c r="C146" s="3">
        <f>589+50</f>
        <v>639</v>
      </c>
      <c r="D146" s="3">
        <f>658+48</f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f>103+205</f>
        <v>308</v>
      </c>
      <c r="C148" s="3">
        <v>223</v>
      </c>
      <c r="D148" s="3">
        <f>120+223</f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f>109+511</f>
        <v>620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40">+SUM(B145:B149)</f>
        <v>2176</v>
      </c>
      <c r="C150" s="5">
        <f t="shared" si="40"/>
        <v>2458</v>
      </c>
      <c r="D150" s="5">
        <f t="shared" si="40"/>
        <v>2626</v>
      </c>
      <c r="E150" s="5">
        <f t="shared" si="40"/>
        <v>2889</v>
      </c>
      <c r="F150" s="5">
        <f t="shared" si="40"/>
        <v>2971</v>
      </c>
      <c r="G150" s="5">
        <f t="shared" si="40"/>
        <v>2870</v>
      </c>
      <c r="H150" s="5">
        <f t="shared" si="40"/>
        <v>2971</v>
      </c>
      <c r="I150" s="5">
        <f t="shared" si="40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41">+SUM(B150:B152)</f>
        <v>3011</v>
      </c>
      <c r="C153" s="7">
        <f t="shared" si="41"/>
        <v>3520</v>
      </c>
      <c r="D153" s="7">
        <f t="shared" si="41"/>
        <v>3989</v>
      </c>
      <c r="E153" s="7">
        <f t="shared" si="41"/>
        <v>4454</v>
      </c>
      <c r="F153" s="7">
        <f t="shared" si="41"/>
        <v>4744</v>
      </c>
      <c r="G153" s="7">
        <f t="shared" si="41"/>
        <v>4866</v>
      </c>
      <c r="H153" s="7">
        <f t="shared" si="4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2">+B153-B31</f>
        <v>0</v>
      </c>
      <c r="C154" s="13">
        <f t="shared" si="42"/>
        <v>0</v>
      </c>
      <c r="D154" s="13">
        <f t="shared" si="42"/>
        <v>0</v>
      </c>
      <c r="E154" s="13">
        <f t="shared" si="42"/>
        <v>0</v>
      </c>
      <c r="F154" s="13">
        <f t="shared" si="42"/>
        <v>0</v>
      </c>
      <c r="G154" s="13">
        <f t="shared" si="42"/>
        <v>0</v>
      </c>
      <c r="H154" s="13">
        <f t="shared" si="42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f>211</f>
        <v>211</v>
      </c>
      <c r="C157" s="3">
        <f>215</f>
        <v>215</v>
      </c>
      <c r="D157" s="3">
        <f>162+10</f>
        <v>172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f>69</f>
        <v>69</v>
      </c>
      <c r="C158" s="3">
        <v>26</v>
      </c>
      <c r="D158" s="3">
        <f>21+51</f>
        <v>72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37</v>
      </c>
      <c r="C159" s="3">
        <v>51</v>
      </c>
      <c r="D159" s="3">
        <v>39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43">+SUM(B156:B160)</f>
        <v>750</v>
      </c>
      <c r="C161" s="5">
        <f t="shared" si="43"/>
        <v>792</v>
      </c>
      <c r="D161" s="5">
        <f t="shared" si="43"/>
        <v>784</v>
      </c>
      <c r="E161" s="5">
        <f t="shared" si="43"/>
        <v>847</v>
      </c>
      <c r="F161" s="5">
        <f t="shared" si="43"/>
        <v>724</v>
      </c>
      <c r="G161" s="5">
        <f t="shared" si="43"/>
        <v>756</v>
      </c>
      <c r="H161" s="5">
        <f t="shared" si="43"/>
        <v>677</v>
      </c>
      <c r="I161" s="5">
        <f t="shared" si="43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44">-(SUM(B161:B162)+B81)</f>
        <v>144</v>
      </c>
      <c r="C163" s="3">
        <f t="shared" si="44"/>
        <v>312</v>
      </c>
      <c r="D163" s="3">
        <f t="shared" si="44"/>
        <v>278</v>
      </c>
      <c r="E163" s="3">
        <f t="shared" si="44"/>
        <v>159</v>
      </c>
      <c r="F163" s="3">
        <f t="shared" si="44"/>
        <v>377</v>
      </c>
      <c r="G163" s="3">
        <f t="shared" si="44"/>
        <v>318</v>
      </c>
      <c r="H163" s="3">
        <f t="shared" si="44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45">+SUM(B161:B163)</f>
        <v>963</v>
      </c>
      <c r="C164" s="7">
        <f t="shared" si="45"/>
        <v>1143</v>
      </c>
      <c r="D164" s="7">
        <f t="shared" si="45"/>
        <v>1092</v>
      </c>
      <c r="E164" s="7">
        <f t="shared" si="45"/>
        <v>1028</v>
      </c>
      <c r="F164" s="7">
        <f t="shared" si="45"/>
        <v>1119</v>
      </c>
      <c r="G164" s="7">
        <f t="shared" si="45"/>
        <v>1086</v>
      </c>
      <c r="H164" s="7">
        <f t="shared" si="45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46">+B164+B81</f>
        <v>0</v>
      </c>
      <c r="C165" s="13">
        <f t="shared" si="46"/>
        <v>0</v>
      </c>
      <c r="D165" s="13">
        <f t="shared" si="46"/>
        <v>0</v>
      </c>
      <c r="E165" s="13">
        <f t="shared" si="46"/>
        <v>0</v>
      </c>
      <c r="F165" s="13">
        <f t="shared" si="46"/>
        <v>0</v>
      </c>
      <c r="G165" s="13">
        <f t="shared" si="46"/>
        <v>0</v>
      </c>
      <c r="H165" s="13">
        <f t="shared" si="4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f>75+12</f>
        <v>87</v>
      </c>
      <c r="C168" s="3">
        <f>72+12</f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f>44+137</f>
        <v>181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142</v>
      </c>
      <c r="C170" s="3">
        <v>154</v>
      </c>
      <c r="D170" s="3">
        <v>173</v>
      </c>
      <c r="E170" s="3">
        <v>198</v>
      </c>
      <c r="F170" s="3">
        <v>200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47">+SUM(B167:B171)</f>
        <v>606</v>
      </c>
      <c r="C172" s="5">
        <f t="shared" si="47"/>
        <v>649</v>
      </c>
      <c r="D172" s="5">
        <f t="shared" si="47"/>
        <v>706</v>
      </c>
      <c r="E172" s="5">
        <f t="shared" si="47"/>
        <v>747</v>
      </c>
      <c r="F172" s="5">
        <f t="shared" si="47"/>
        <v>705</v>
      </c>
      <c r="G172" s="5">
        <f t="shared" si="47"/>
        <v>721</v>
      </c>
      <c r="H172" s="5">
        <f t="shared" si="47"/>
        <v>577</v>
      </c>
      <c r="I172" s="5">
        <f t="shared" si="47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48">+SUM(B172:B174)</f>
        <v>606</v>
      </c>
      <c r="C175" s="7">
        <f t="shared" si="48"/>
        <v>649</v>
      </c>
      <c r="D175" s="7">
        <f t="shared" si="48"/>
        <v>706</v>
      </c>
      <c r="E175" s="7">
        <f t="shared" si="48"/>
        <v>747</v>
      </c>
      <c r="F175" s="7">
        <f t="shared" si="48"/>
        <v>705</v>
      </c>
      <c r="G175" s="7">
        <f t="shared" si="48"/>
        <v>721</v>
      </c>
      <c r="H175" s="7">
        <f t="shared" si="48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9">+B175-B66</f>
        <v>0</v>
      </c>
      <c r="C176" s="13">
        <f t="shared" si="49"/>
        <v>0</v>
      </c>
      <c r="D176" s="13">
        <f t="shared" si="49"/>
        <v>0</v>
      </c>
      <c r="E176" s="13">
        <f t="shared" si="49"/>
        <v>0</v>
      </c>
      <c r="F176" s="13">
        <f t="shared" si="49"/>
        <v>0</v>
      </c>
      <c r="G176" s="13">
        <f t="shared" si="49"/>
        <v>0</v>
      </c>
      <c r="H176" s="13">
        <f t="shared" si="49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60" t="s">
        <v>203</v>
      </c>
      <c r="C179" s="60">
        <f t="shared" ref="C179:H194" si="50">(C107-B107)/B107</f>
        <v>7.4526928675400297E-2</v>
      </c>
      <c r="D179" s="60">
        <f t="shared" si="50"/>
        <v>3.061500948252506E-2</v>
      </c>
      <c r="E179" s="60">
        <f t="shared" si="50"/>
        <v>-2.3725026288117772E-2</v>
      </c>
      <c r="F179" s="60">
        <f t="shared" si="50"/>
        <v>7.0481319421070346E-2</v>
      </c>
      <c r="G179" s="60">
        <f>(G107-F107)/F107</f>
        <v>-8.9171173437303478E-2</v>
      </c>
      <c r="H179" s="60">
        <f>(H107-G107)/G107</f>
        <v>0.18606738470035902</v>
      </c>
      <c r="I179" s="34">
        <v>7.0000000000000007E-2</v>
      </c>
    </row>
    <row r="180" spans="1:9" x14ac:dyDescent="0.3">
      <c r="A180" s="31" t="s">
        <v>113</v>
      </c>
      <c r="B180" s="60" t="s">
        <v>203</v>
      </c>
      <c r="C180" s="61">
        <f t="shared" si="50"/>
        <v>9.3228309428638606E-2</v>
      </c>
      <c r="D180" s="61">
        <f t="shared" si="50"/>
        <v>4.1402301322722872E-2</v>
      </c>
      <c r="E180" s="61">
        <f t="shared" si="50"/>
        <v>-3.7381247418422137E-2</v>
      </c>
      <c r="F180" s="61">
        <f t="shared" si="50"/>
        <v>7.7558463848959452E-2</v>
      </c>
      <c r="G180" s="61">
        <f t="shared" si="50"/>
        <v>-7.1279243404678949E-2</v>
      </c>
      <c r="H180" s="61">
        <f>(H108-G108)/G108</f>
        <v>0.24815092721620752</v>
      </c>
      <c r="I180" s="30">
        <v>0.05</v>
      </c>
    </row>
    <row r="181" spans="1:9" x14ac:dyDescent="0.3">
      <c r="A181" s="31" t="s">
        <v>114</v>
      </c>
      <c r="B181" s="60" t="s">
        <v>203</v>
      </c>
      <c r="C181" s="61">
        <f t="shared" si="50"/>
        <v>7.6190476190476197E-2</v>
      </c>
      <c r="D181" s="61">
        <f t="shared" si="50"/>
        <v>2.9498525073746312E-2</v>
      </c>
      <c r="E181" s="61">
        <f t="shared" si="50"/>
        <v>1.0642652476463364E-2</v>
      </c>
      <c r="F181" s="61">
        <f t="shared" si="50"/>
        <v>6.5208586472255969E-2</v>
      </c>
      <c r="G181" s="61">
        <f t="shared" si="50"/>
        <v>-0.11806083650190113</v>
      </c>
      <c r="H181" s="61">
        <f t="shared" si="50"/>
        <v>8.3854278939426596E-2</v>
      </c>
      <c r="I181" s="30">
        <v>0.09</v>
      </c>
    </row>
    <row r="182" spans="1:9" x14ac:dyDescent="0.3">
      <c r="A182" s="31" t="s">
        <v>115</v>
      </c>
      <c r="B182" s="60" t="s">
        <v>203</v>
      </c>
      <c r="C182" s="61">
        <f t="shared" si="50"/>
        <v>-0.12742718446601942</v>
      </c>
      <c r="D182" s="61">
        <f t="shared" si="50"/>
        <v>-0.10152990264255911</v>
      </c>
      <c r="E182" s="61">
        <f t="shared" si="50"/>
        <v>-7.8947368421052627E-2</v>
      </c>
      <c r="F182" s="61">
        <f t="shared" si="50"/>
        <v>3.3613445378151263E-3</v>
      </c>
      <c r="G182" s="61">
        <f t="shared" si="50"/>
        <v>-0.135678391959799</v>
      </c>
      <c r="H182" s="61">
        <f t="shared" si="50"/>
        <v>-1.7441860465116279E-2</v>
      </c>
      <c r="I182" s="30">
        <v>0.25</v>
      </c>
    </row>
    <row r="183" spans="1:9" x14ac:dyDescent="0.3">
      <c r="A183" s="33" t="s">
        <v>101</v>
      </c>
      <c r="B183" s="60" t="s">
        <v>203</v>
      </c>
      <c r="C183" s="61">
        <f t="shared" si="50"/>
        <v>2.6522593320235755E-2</v>
      </c>
      <c r="D183" s="61">
        <f t="shared" si="50"/>
        <v>5.2358168147641833E-2</v>
      </c>
      <c r="E183" s="61">
        <f t="shared" si="50"/>
        <v>0.20057157703299558</v>
      </c>
      <c r="F183" s="61">
        <f t="shared" si="50"/>
        <v>6.1674962129409219E-2</v>
      </c>
      <c r="G183" s="61">
        <f t="shared" si="50"/>
        <v>-4.7390949857317573E-2</v>
      </c>
      <c r="H183" s="61">
        <f t="shared" si="50"/>
        <v>0.22563389322777361</v>
      </c>
      <c r="I183" s="34">
        <v>0.12</v>
      </c>
    </row>
    <row r="184" spans="1:9" x14ac:dyDescent="0.3">
      <c r="A184" s="31" t="s">
        <v>113</v>
      </c>
      <c r="B184" s="60" t="s">
        <v>203</v>
      </c>
      <c r="C184" s="61">
        <f t="shared" si="50"/>
        <v>3.4871358707208165E-2</v>
      </c>
      <c r="D184" s="61">
        <f t="shared" si="50"/>
        <v>2.6299568522703924E-2</v>
      </c>
      <c r="E184" s="61">
        <f t="shared" si="50"/>
        <v>0.17617617617617617</v>
      </c>
      <c r="F184" s="61">
        <f t="shared" si="50"/>
        <v>7.114893617021277E-2</v>
      </c>
      <c r="G184" s="61">
        <f t="shared" si="50"/>
        <v>-6.3721595423486418E-2</v>
      </c>
      <c r="H184" s="61">
        <f t="shared" si="50"/>
        <v>0.18295994568906992</v>
      </c>
      <c r="I184" s="30">
        <v>0.09</v>
      </c>
    </row>
    <row r="185" spans="1:9" x14ac:dyDescent="0.3">
      <c r="A185" s="31" t="s">
        <v>114</v>
      </c>
      <c r="B185" s="60" t="s">
        <v>203</v>
      </c>
      <c r="C185" s="61">
        <f t="shared" si="50"/>
        <v>1.9502681618722574E-2</v>
      </c>
      <c r="D185" s="61">
        <f t="shared" si="50"/>
        <v>0.11860353897656624</v>
      </c>
      <c r="E185" s="61">
        <f t="shared" si="50"/>
        <v>0.25694741342454042</v>
      </c>
      <c r="F185" s="61">
        <f t="shared" si="50"/>
        <v>0.05</v>
      </c>
      <c r="G185" s="61">
        <f t="shared" si="50"/>
        <v>-1.101392938127632E-2</v>
      </c>
      <c r="H185" s="61">
        <f t="shared" si="50"/>
        <v>0.30887651490337376</v>
      </c>
      <c r="I185" s="30">
        <v>0.16</v>
      </c>
    </row>
    <row r="186" spans="1:9" x14ac:dyDescent="0.3">
      <c r="A186" s="31" t="s">
        <v>115</v>
      </c>
      <c r="B186" s="60" t="s">
        <v>203</v>
      </c>
      <c r="C186" s="61">
        <f t="shared" si="50"/>
        <v>-4.0322580645161289E-2</v>
      </c>
      <c r="D186" s="61">
        <f t="shared" si="50"/>
        <v>1.9607843137254902E-2</v>
      </c>
      <c r="E186" s="61">
        <f t="shared" si="50"/>
        <v>0.17307692307692307</v>
      </c>
      <c r="F186" s="61">
        <f t="shared" si="50"/>
        <v>1.1709601873536301E-2</v>
      </c>
      <c r="G186" s="61">
        <f t="shared" si="50"/>
        <v>-6.9444444444444448E-2</v>
      </c>
      <c r="H186" s="61">
        <f t="shared" si="50"/>
        <v>0.21890547263681592</v>
      </c>
      <c r="I186" s="30">
        <v>0.17</v>
      </c>
    </row>
    <row r="187" spans="1:9" x14ac:dyDescent="0.3">
      <c r="A187" s="33" t="s">
        <v>102</v>
      </c>
      <c r="B187" s="60" t="s">
        <v>203</v>
      </c>
      <c r="C187" s="61">
        <f t="shared" si="50"/>
        <v>0.23410498858819692</v>
      </c>
      <c r="D187" s="61">
        <f t="shared" si="50"/>
        <v>0.11941875825627477</v>
      </c>
      <c r="E187" s="61">
        <f t="shared" si="50"/>
        <v>0.21170639603493038</v>
      </c>
      <c r="F187" s="61">
        <f t="shared" si="50"/>
        <v>0.20919361121932217</v>
      </c>
      <c r="G187" s="61">
        <f t="shared" si="50"/>
        <v>7.5869845360824736E-2</v>
      </c>
      <c r="H187" s="61">
        <f t="shared" si="50"/>
        <v>0.24120377301991316</v>
      </c>
      <c r="I187" s="34">
        <v>-0.13</v>
      </c>
    </row>
    <row r="188" spans="1:9" x14ac:dyDescent="0.3">
      <c r="A188" s="31" t="s">
        <v>113</v>
      </c>
      <c r="B188" s="60" t="s">
        <v>203</v>
      </c>
      <c r="C188" s="61">
        <f t="shared" si="50"/>
        <v>0.28918650793650796</v>
      </c>
      <c r="D188" s="61">
        <f t="shared" si="50"/>
        <v>0.12350904193920739</v>
      </c>
      <c r="E188" s="61">
        <f t="shared" si="50"/>
        <v>0.19726027397260273</v>
      </c>
      <c r="F188" s="61">
        <f t="shared" si="50"/>
        <v>0.21910755148741418</v>
      </c>
      <c r="G188" s="61">
        <f t="shared" si="50"/>
        <v>8.7517597372125763E-2</v>
      </c>
      <c r="H188" s="61">
        <f t="shared" si="50"/>
        <v>0.24012944983818771</v>
      </c>
      <c r="I188" s="30">
        <v>-0.1</v>
      </c>
    </row>
    <row r="189" spans="1:9" x14ac:dyDescent="0.3">
      <c r="A189" s="31" t="s">
        <v>114</v>
      </c>
      <c r="B189" s="60" t="s">
        <v>203</v>
      </c>
      <c r="C189" s="61">
        <f t="shared" si="50"/>
        <v>0.14054054054054055</v>
      </c>
      <c r="D189" s="61">
        <f t="shared" si="50"/>
        <v>0.12606635071090047</v>
      </c>
      <c r="E189" s="61">
        <f t="shared" si="50"/>
        <v>0.26936026936026936</v>
      </c>
      <c r="F189" s="61">
        <f t="shared" si="50"/>
        <v>0.19893899204244031</v>
      </c>
      <c r="G189" s="61">
        <f t="shared" si="50"/>
        <v>4.8672566371681415E-2</v>
      </c>
      <c r="H189" s="61">
        <f t="shared" si="50"/>
        <v>0.2378691983122363</v>
      </c>
      <c r="I189" s="30">
        <v>-0.21</v>
      </c>
    </row>
    <row r="190" spans="1:9" x14ac:dyDescent="0.3">
      <c r="A190" s="31" t="s">
        <v>115</v>
      </c>
      <c r="B190" s="60" t="s">
        <v>203</v>
      </c>
      <c r="C190" s="61">
        <f t="shared" si="50"/>
        <v>3.968253968253968E-2</v>
      </c>
      <c r="D190" s="61">
        <f t="shared" si="50"/>
        <v>-1.5267175572519083E-2</v>
      </c>
      <c r="E190" s="61">
        <f t="shared" si="50"/>
        <v>7.7519379844961239E-3</v>
      </c>
      <c r="F190" s="61">
        <f t="shared" si="50"/>
        <v>6.1538461538461542E-2</v>
      </c>
      <c r="G190" s="61">
        <f t="shared" si="50"/>
        <v>7.2463768115942032E-2</v>
      </c>
      <c r="H190" s="61">
        <f t="shared" si="50"/>
        <v>0.31756756756756754</v>
      </c>
      <c r="I190" s="30">
        <v>-0.06</v>
      </c>
    </row>
    <row r="191" spans="1:9" x14ac:dyDescent="0.3">
      <c r="A191" s="33" t="s">
        <v>106</v>
      </c>
      <c r="B191" s="60" t="s">
        <v>203</v>
      </c>
      <c r="C191" s="61">
        <f t="shared" si="50"/>
        <v>-1.7837954008166772E-2</v>
      </c>
      <c r="D191" s="61">
        <f t="shared" si="50"/>
        <v>9.6061269146608314E-2</v>
      </c>
      <c r="E191" s="61">
        <f t="shared" si="50"/>
        <v>3.1343581553204235E-2</v>
      </c>
      <c r="F191" s="61">
        <f t="shared" si="50"/>
        <v>1.7034456058846303E-2</v>
      </c>
      <c r="G191" s="61">
        <f t="shared" si="50"/>
        <v>-4.3014845831747243E-2</v>
      </c>
      <c r="H191" s="61">
        <f t="shared" si="50"/>
        <v>6.2649164677804292E-2</v>
      </c>
      <c r="I191" s="34">
        <v>0.16</v>
      </c>
    </row>
    <row r="192" spans="1:9" x14ac:dyDescent="0.3">
      <c r="A192" s="31" t="s">
        <v>113</v>
      </c>
      <c r="B192" s="60" t="s">
        <v>203</v>
      </c>
      <c r="C192" s="61">
        <f t="shared" si="50"/>
        <v>4.2030391205948913E-3</v>
      </c>
      <c r="D192" s="61">
        <f t="shared" si="50"/>
        <v>0.1210560206052801</v>
      </c>
      <c r="E192" s="61">
        <f t="shared" si="50"/>
        <v>2.6708788052843192E-2</v>
      </c>
      <c r="F192" s="61">
        <f t="shared" si="50"/>
        <v>1.3146853146853148E-2</v>
      </c>
      <c r="G192" s="61">
        <f t="shared" si="50"/>
        <v>-4.7763666482606291E-2</v>
      </c>
      <c r="H192" s="61">
        <f t="shared" si="50"/>
        <v>6.0887213685126125E-2</v>
      </c>
      <c r="I192" s="30">
        <v>0.17</v>
      </c>
    </row>
    <row r="193" spans="1:9" x14ac:dyDescent="0.3">
      <c r="A193" s="31" t="s">
        <v>114</v>
      </c>
      <c r="B193" s="60" t="s">
        <v>203</v>
      </c>
      <c r="C193" s="61">
        <f t="shared" si="50"/>
        <v>-6.0751398880895285E-2</v>
      </c>
      <c r="D193" s="61">
        <f t="shared" si="50"/>
        <v>5.6170212765957447E-2</v>
      </c>
      <c r="E193" s="61">
        <f t="shared" si="50"/>
        <v>8.5414987912973403E-2</v>
      </c>
      <c r="F193" s="61">
        <f t="shared" si="50"/>
        <v>3.5634743875278395E-2</v>
      </c>
      <c r="G193" s="61">
        <f t="shared" si="50"/>
        <v>-2.1505376344086023E-2</v>
      </c>
      <c r="H193" s="61">
        <f t="shared" si="50"/>
        <v>9.4505494505494503E-2</v>
      </c>
      <c r="I193" s="30">
        <v>0.12</v>
      </c>
    </row>
    <row r="194" spans="1:9" x14ac:dyDescent="0.3">
      <c r="A194" s="31" t="s">
        <v>115</v>
      </c>
      <c r="B194" s="60" t="s">
        <v>203</v>
      </c>
      <c r="C194" s="61">
        <f t="shared" si="50"/>
        <v>-6.4724919093851127E-2</v>
      </c>
      <c r="D194" s="61">
        <f t="shared" si="50"/>
        <v>-1.0380622837370242E-2</v>
      </c>
      <c r="E194" s="61">
        <f t="shared" si="50"/>
        <v>-0.14685314685314685</v>
      </c>
      <c r="F194" s="61">
        <f t="shared" si="50"/>
        <v>-2.8688524590163935E-2</v>
      </c>
      <c r="G194" s="61">
        <f t="shared" si="50"/>
        <v>-9.7046413502109699E-2</v>
      </c>
      <c r="H194" s="61">
        <f t="shared" si="50"/>
        <v>-0.11214953271028037</v>
      </c>
      <c r="I194" s="30">
        <v>0.28000000000000003</v>
      </c>
    </row>
    <row r="195" spans="1:9" x14ac:dyDescent="0.3">
      <c r="A195" s="33" t="s">
        <v>107</v>
      </c>
      <c r="B195" s="60" t="s">
        <v>203</v>
      </c>
      <c r="C195" s="61">
        <f t="shared" ref="C195:H201" si="51">(C123-B123)/B123</f>
        <v>-0.36521739130434783</v>
      </c>
      <c r="D195" s="61">
        <f t="shared" si="51"/>
        <v>0</v>
      </c>
      <c r="E195" s="61">
        <f t="shared" si="51"/>
        <v>0.20547945205479451</v>
      </c>
      <c r="F195" s="61">
        <f t="shared" si="51"/>
        <v>-0.52272727272727271</v>
      </c>
      <c r="G195" s="61">
        <f t="shared" si="51"/>
        <v>-0.2857142857142857</v>
      </c>
      <c r="H195" s="61">
        <f t="shared" si="51"/>
        <v>-0.16666666666666666</v>
      </c>
      <c r="I195" s="34">
        <v>3.02</v>
      </c>
    </row>
    <row r="196" spans="1:9" x14ac:dyDescent="0.3">
      <c r="A196" s="35" t="s">
        <v>103</v>
      </c>
      <c r="B196" s="37" t="s">
        <v>203</v>
      </c>
      <c r="C196" s="61">
        <f t="shared" si="51"/>
        <v>6.2924636772237905E-2</v>
      </c>
      <c r="D196" s="61">
        <f t="shared" si="51"/>
        <v>5.6577179008096501E-2</v>
      </c>
      <c r="E196" s="61">
        <f t="shared" si="51"/>
        <v>6.9866286104303038E-2</v>
      </c>
      <c r="F196" s="61">
        <f t="shared" si="51"/>
        <v>7.9251848629839056E-2</v>
      </c>
      <c r="G196" s="61">
        <f t="shared" si="51"/>
        <v>-4.4333387070772209E-2</v>
      </c>
      <c r="H196" s="61">
        <f t="shared" si="51"/>
        <v>0.18907444894286998</v>
      </c>
      <c r="I196" s="37">
        <v>0.06</v>
      </c>
    </row>
    <row r="197" spans="1:9" x14ac:dyDescent="0.3">
      <c r="A197" s="33" t="s">
        <v>104</v>
      </c>
      <c r="B197" s="34" t="s">
        <v>203</v>
      </c>
      <c r="C197" s="61">
        <f t="shared" si="51"/>
        <v>-1.3622603430877902E-2</v>
      </c>
      <c r="D197" s="61">
        <f t="shared" si="51"/>
        <v>4.4501278772378514E-2</v>
      </c>
      <c r="E197" s="61">
        <f t="shared" si="51"/>
        <v>-7.6395690499510283E-2</v>
      </c>
      <c r="F197" s="61">
        <f t="shared" si="51"/>
        <v>1.0604453870625663E-2</v>
      </c>
      <c r="G197" s="61">
        <f t="shared" si="51"/>
        <v>-3.1479538300104928E-2</v>
      </c>
      <c r="H197" s="61">
        <f t="shared" si="51"/>
        <v>0.19447453954496208</v>
      </c>
      <c r="I197" s="34">
        <v>7.0000000000000007E-2</v>
      </c>
    </row>
    <row r="198" spans="1:9" x14ac:dyDescent="0.3">
      <c r="A198" s="31" t="s">
        <v>113</v>
      </c>
      <c r="B198" s="30" t="s">
        <v>203</v>
      </c>
      <c r="C198" s="61">
        <f t="shared" si="51"/>
        <v>-1.3622603430877902E-2</v>
      </c>
      <c r="D198" s="61">
        <f t="shared" si="51"/>
        <v>4.4501278772378514E-2</v>
      </c>
      <c r="E198" s="61">
        <f t="shared" si="51"/>
        <v>-7.6395690499510283E-2</v>
      </c>
      <c r="F198" s="61">
        <f t="shared" si="51"/>
        <v>-0.12089077412513255</v>
      </c>
      <c r="G198" s="61">
        <f t="shared" si="51"/>
        <v>-9.6501809408926411E-3</v>
      </c>
      <c r="H198" s="61">
        <f t="shared" si="51"/>
        <v>0.20950060901339829</v>
      </c>
      <c r="I198" s="30">
        <v>0.06</v>
      </c>
    </row>
    <row r="199" spans="1:9" x14ac:dyDescent="0.3">
      <c r="A199" s="31" t="s">
        <v>114</v>
      </c>
      <c r="B199" s="30" t="s">
        <v>203</v>
      </c>
      <c r="C199" s="61" t="s">
        <v>203</v>
      </c>
      <c r="D199" s="61" t="s">
        <v>203</v>
      </c>
      <c r="E199" s="61" t="s">
        <v>203</v>
      </c>
      <c r="F199" s="61" t="s">
        <v>203</v>
      </c>
      <c r="G199" s="61">
        <f t="shared" si="51"/>
        <v>-0.24576271186440679</v>
      </c>
      <c r="H199" s="61">
        <f t="shared" si="51"/>
        <v>0.16853932584269662</v>
      </c>
      <c r="I199" s="30">
        <v>-0.03</v>
      </c>
    </row>
    <row r="200" spans="1:9" x14ac:dyDescent="0.3">
      <c r="A200" s="31" t="s">
        <v>115</v>
      </c>
      <c r="B200" s="30" t="s">
        <v>203</v>
      </c>
      <c r="C200" s="61" t="s">
        <v>203</v>
      </c>
      <c r="D200" s="61" t="s">
        <v>203</v>
      </c>
      <c r="E200" s="61" t="s">
        <v>203</v>
      </c>
      <c r="F200" s="61" t="s">
        <v>203</v>
      </c>
      <c r="G200" s="61">
        <f t="shared" si="51"/>
        <v>4.1666666666666664E-2</v>
      </c>
      <c r="H200" s="61">
        <f t="shared" si="51"/>
        <v>0.16</v>
      </c>
      <c r="I200" s="30">
        <v>-0.16</v>
      </c>
    </row>
    <row r="201" spans="1:9" x14ac:dyDescent="0.3">
      <c r="A201" s="31" t="s">
        <v>121</v>
      </c>
      <c r="B201" s="30" t="s">
        <v>203</v>
      </c>
      <c r="C201" s="61" t="s">
        <v>203</v>
      </c>
      <c r="D201" s="61" t="s">
        <v>203</v>
      </c>
      <c r="E201" s="61" t="s">
        <v>203</v>
      </c>
      <c r="F201" s="61" t="s">
        <v>203</v>
      </c>
      <c r="G201" s="61">
        <f t="shared" si="51"/>
        <v>-0.15094339622641509</v>
      </c>
      <c r="H201" s="61">
        <f t="shared" si="51"/>
        <v>-4.4444444444444446E-2</v>
      </c>
      <c r="I201" s="30">
        <v>0.42</v>
      </c>
    </row>
    <row r="202" spans="1:9" x14ac:dyDescent="0.3">
      <c r="A202" s="29" t="s">
        <v>108</v>
      </c>
      <c r="B202" s="30" t="s">
        <v>203</v>
      </c>
      <c r="C202" s="61">
        <f t="shared" ref="C202:H203" si="52">(C130-B130)/B130</f>
        <v>4.878048780487805E-2</v>
      </c>
      <c r="D202" s="61">
        <f t="shared" si="52"/>
        <v>-1.8720930232558139</v>
      </c>
      <c r="E202" s="61">
        <f t="shared" si="52"/>
        <v>-0.65333333333333332</v>
      </c>
      <c r="F202" s="61">
        <f t="shared" si="52"/>
        <v>-1.2692307692307692</v>
      </c>
      <c r="G202" s="61">
        <f t="shared" si="52"/>
        <v>0.5714285714285714</v>
      </c>
      <c r="H202" s="61">
        <f t="shared" si="52"/>
        <v>-4.6363636363636367</v>
      </c>
      <c r="I202" s="30">
        <v>0</v>
      </c>
    </row>
    <row r="203" spans="1:9" ht="15" thickBot="1" x14ac:dyDescent="0.35">
      <c r="A203" s="32" t="s">
        <v>105</v>
      </c>
      <c r="B203" s="36" t="s">
        <v>203</v>
      </c>
      <c r="C203" s="61">
        <f>(C131-B131)/B131</f>
        <v>5.8004640371229696E-2</v>
      </c>
      <c r="D203" s="61">
        <f t="shared" si="52"/>
        <v>6.0971089696071165E-2</v>
      </c>
      <c r="E203" s="61">
        <f t="shared" si="52"/>
        <v>5.9592430858806403E-2</v>
      </c>
      <c r="F203" s="61">
        <f t="shared" si="52"/>
        <v>7.4731433909388134E-2</v>
      </c>
      <c r="G203" s="61">
        <f t="shared" si="52"/>
        <v>-4.3817266150267146E-2</v>
      </c>
      <c r="H203" s="61">
        <f t="shared" si="52"/>
        <v>0.1907600994572628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topLeftCell="A12" workbookViewId="0">
      <selection activeCell="K5" sqref="K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[1]Historicals!B124</f>
        <v>28701</v>
      </c>
      <c r="C3" s="9">
        <f>[1]Historicals!C124</f>
        <v>30507</v>
      </c>
      <c r="D3" s="9">
        <f>[1]Historicals!D124</f>
        <v>32233</v>
      </c>
      <c r="E3" s="9">
        <f>[1]Historicals!E124</f>
        <v>34485</v>
      </c>
      <c r="F3" s="9">
        <f>[1]Historicals!F124</f>
        <v>37218</v>
      </c>
      <c r="G3" s="9">
        <f>[1]Historicals!G124</f>
        <v>35568</v>
      </c>
      <c r="H3" s="9">
        <f>[1]Historicals!H124</f>
        <v>42293</v>
      </c>
      <c r="I3" s="9">
        <f>[1]Historicals!I124</f>
        <v>44436</v>
      </c>
      <c r="J3" s="9">
        <f>J5+J17+J14</f>
        <v>13104</v>
      </c>
      <c r="K3" s="9">
        <f t="shared" ref="K3:N3" si="2">K5+K17+K14</f>
        <v>12468.76580827828</v>
      </c>
      <c r="L3" s="9">
        <f t="shared" si="2"/>
        <v>12140.427937386408</v>
      </c>
      <c r="M3" s="9">
        <f t="shared" si="2"/>
        <v>11828.159454000772</v>
      </c>
      <c r="N3" s="9">
        <f t="shared" si="2"/>
        <v>11531.173896254746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6.2924636772237807E-2</v>
      </c>
      <c r="D4" s="47">
        <f t="shared" si="3"/>
        <v>5.6577179008096445E-2</v>
      </c>
      <c r="E4" s="47">
        <f t="shared" si="3"/>
        <v>6.9866286104303121E-2</v>
      </c>
      <c r="F4" s="47">
        <f t="shared" si="3"/>
        <v>7.9251848629839028E-2</v>
      </c>
      <c r="G4" s="47">
        <f t="shared" si="3"/>
        <v>-4.4333387070772168E-2</v>
      </c>
      <c r="H4" s="47">
        <f t="shared" si="3"/>
        <v>0.18907444894286995</v>
      </c>
      <c r="I4" s="47">
        <f>+IFERROR(I3/H3-1,"nm")</f>
        <v>5.0670323694228303E-2</v>
      </c>
      <c r="J4" s="47">
        <f t="shared" ref="J4:N4" si="4">+IFERROR(J3/I3-1,"nm")</f>
        <v>-0.70510396975425338</v>
      </c>
      <c r="K4" s="47">
        <f t="shared" si="4"/>
        <v>-4.8476357732121444E-2</v>
      </c>
      <c r="L4" s="47">
        <f t="shared" si="4"/>
        <v>-2.6332828440316147E-2</v>
      </c>
      <c r="M4" s="47">
        <f t="shared" si="4"/>
        <v>-2.5721373661302893E-2</v>
      </c>
      <c r="N4" s="47">
        <f t="shared" si="4"/>
        <v>-2.5108349181543477E-2</v>
      </c>
    </row>
    <row r="5" spans="1:15" x14ac:dyDescent="0.3">
      <c r="A5" s="41" t="s">
        <v>130</v>
      </c>
      <c r="B5" s="1">
        <f t="shared" ref="B5:H5" si="5">B8+B11</f>
        <v>4746</v>
      </c>
      <c r="C5" s="1">
        <f t="shared" si="5"/>
        <v>5180</v>
      </c>
      <c r="D5" s="1">
        <f t="shared" si="5"/>
        <v>5532</v>
      </c>
      <c r="E5" s="1">
        <f t="shared" si="5"/>
        <v>4983</v>
      </c>
      <c r="F5" s="1">
        <f t="shared" si="5"/>
        <v>5408</v>
      </c>
      <c r="G5" s="1">
        <f t="shared" si="5"/>
        <v>3560</v>
      </c>
      <c r="H5" s="1">
        <f t="shared" si="5"/>
        <v>7500</v>
      </c>
      <c r="I5" s="1">
        <f>I8+I11</f>
        <v>7417</v>
      </c>
      <c r="J5" s="62">
        <f>J8+J11</f>
        <v>7054</v>
      </c>
      <c r="K5" s="62">
        <f t="shared" ref="K5:N5" si="6">J5*(1+J6)</f>
        <v>6708.76580827828</v>
      </c>
      <c r="L5" s="62">
        <f t="shared" si="6"/>
        <v>6380.4279373864083</v>
      </c>
      <c r="M5" s="62">
        <f t="shared" si="6"/>
        <v>6068.1594540007718</v>
      </c>
      <c r="N5" s="62">
        <f t="shared" si="6"/>
        <v>5771.1738962547452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9.1445427728613637E-2</v>
      </c>
      <c r="D6" s="47">
        <f t="shared" si="7"/>
        <v>6.7953667953667862E-2</v>
      </c>
      <c r="E6" s="47">
        <f t="shared" si="7"/>
        <v>-9.924078091106292E-2</v>
      </c>
      <c r="F6" s="47">
        <f t="shared" si="7"/>
        <v>8.5289985952237579E-2</v>
      </c>
      <c r="G6" s="47">
        <f t="shared" si="7"/>
        <v>-0.34171597633136097</v>
      </c>
      <c r="H6" s="47">
        <f t="shared" si="7"/>
        <v>1.106741573033708</v>
      </c>
      <c r="I6" s="47">
        <f>+IFERROR(I5/H5-1,"0")</f>
        <v>-1.1066666666666669E-2</v>
      </c>
      <c r="J6" s="47">
        <f t="shared" ref="J6:N6" si="8">+IFERROR(J5/I5-1,"nm")</f>
        <v>-4.8941620601321234E-2</v>
      </c>
      <c r="K6" s="47">
        <f t="shared" si="8"/>
        <v>-4.8941620601321234E-2</v>
      </c>
      <c r="L6" s="47">
        <f t="shared" si="8"/>
        <v>-4.8941620601321234E-2</v>
      </c>
      <c r="M6" s="47">
        <f t="shared" si="8"/>
        <v>-4.8941620601321234E-2</v>
      </c>
      <c r="N6" s="47">
        <f t="shared" si="8"/>
        <v>-4.8941620601321234E-2</v>
      </c>
    </row>
    <row r="7" spans="1:15" x14ac:dyDescent="0.3">
      <c r="A7" s="42" t="s">
        <v>131</v>
      </c>
      <c r="B7" s="47">
        <f>+IFERROR(B5/B$3,"nm")</f>
        <v>0.16536009198285773</v>
      </c>
      <c r="C7" s="47">
        <f t="shared" ref="C7:N7" si="9">+IFERROR(C5/C$3,"nm")</f>
        <v>0.16979709574851673</v>
      </c>
      <c r="D7" s="47">
        <f t="shared" si="9"/>
        <v>0.17162535289920269</v>
      </c>
      <c r="E7" s="47">
        <f t="shared" si="9"/>
        <v>0.1444976076555024</v>
      </c>
      <c r="F7" s="47">
        <f t="shared" si="9"/>
        <v>0.14530603471438552</v>
      </c>
      <c r="G7" s="47">
        <f t="shared" si="9"/>
        <v>0.10008996851102114</v>
      </c>
      <c r="H7" s="47">
        <f t="shared" si="9"/>
        <v>0.17733431064242311</v>
      </c>
      <c r="I7" s="47">
        <f t="shared" si="9"/>
        <v>0.16691421370060311</v>
      </c>
      <c r="J7" s="47">
        <f t="shared" si="9"/>
        <v>0.53830891330891328</v>
      </c>
      <c r="K7" s="47">
        <f t="shared" si="9"/>
        <v>0.53804569846232797</v>
      </c>
      <c r="L7" s="47">
        <f t="shared" si="9"/>
        <v>0.52555214447901799</v>
      </c>
      <c r="M7" s="47">
        <f t="shared" si="9"/>
        <v>0.51302651757440332</v>
      </c>
      <c r="N7" s="47">
        <f t="shared" si="9"/>
        <v>0.50048450818430434</v>
      </c>
    </row>
    <row r="8" spans="1:15" x14ac:dyDescent="0.3">
      <c r="A8" s="41" t="s">
        <v>132</v>
      </c>
      <c r="B8" s="1">
        <f>[1]Historicals!B172</f>
        <v>513</v>
      </c>
      <c r="C8" s="1">
        <f>[1]Historicals!C172</f>
        <v>538</v>
      </c>
      <c r="D8" s="1">
        <f>[1]Historicals!D172</f>
        <v>587</v>
      </c>
      <c r="E8" s="1">
        <f>[1]Historicals!E172</f>
        <v>604</v>
      </c>
      <c r="F8" s="1">
        <f>[1]Historicals!F172</f>
        <v>558</v>
      </c>
      <c r="G8" s="1">
        <f>[1]Historicals!G172</f>
        <v>584</v>
      </c>
      <c r="H8" s="1">
        <f>[1]Historicals!H172</f>
        <v>577</v>
      </c>
      <c r="I8" s="1">
        <f>[1]Historicals!I172</f>
        <v>561</v>
      </c>
      <c r="J8" s="62">
        <f>156+703</f>
        <v>859</v>
      </c>
      <c r="K8" s="62">
        <f t="shared" ref="K8:N8" si="10">J8*(1+J9)</f>
        <v>1315.2959001782531</v>
      </c>
      <c r="L8" s="62">
        <f t="shared" si="10"/>
        <v>2013.9735797738315</v>
      </c>
      <c r="M8" s="62">
        <f t="shared" si="10"/>
        <v>3083.7848574433533</v>
      </c>
      <c r="N8" s="62">
        <f t="shared" si="10"/>
        <v>4721.8737835006068</v>
      </c>
      <c r="O8" t="s">
        <v>144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4.8732943469785628E-2</v>
      </c>
      <c r="D9" s="47">
        <f t="shared" si="11"/>
        <v>9.1078066914498157E-2</v>
      </c>
      <c r="E9" s="47">
        <f t="shared" si="11"/>
        <v>2.8960817717206044E-2</v>
      </c>
      <c r="F9" s="47">
        <f t="shared" si="11"/>
        <v>-7.6158940397350938E-2</v>
      </c>
      <c r="G9" s="47">
        <f t="shared" si="11"/>
        <v>4.6594982078853153E-2</v>
      </c>
      <c r="H9" s="47">
        <f t="shared" si="11"/>
        <v>-1.1986301369863006E-2</v>
      </c>
      <c r="I9" s="47">
        <f>+IFERROR(I8/H8-1,"0")</f>
        <v>-2.7729636048526851E-2</v>
      </c>
      <c r="J9" s="47">
        <f>+IFERROR(J8/I8-1,"0")</f>
        <v>0.5311942959001783</v>
      </c>
      <c r="K9" s="47">
        <f t="shared" ref="K9:N9" si="12">+IFERROR(K8/J8-1,"nm")</f>
        <v>0.5311942959001783</v>
      </c>
      <c r="L9" s="47">
        <f t="shared" si="12"/>
        <v>0.5311942959001783</v>
      </c>
      <c r="M9" s="47">
        <f t="shared" si="12"/>
        <v>0.5311942959001783</v>
      </c>
      <c r="N9" s="47">
        <f t="shared" si="12"/>
        <v>0.5311942959001783</v>
      </c>
    </row>
    <row r="10" spans="1:15" x14ac:dyDescent="0.3">
      <c r="A10" s="42" t="s">
        <v>133</v>
      </c>
      <c r="B10" s="47">
        <f>+IFERROR(B8/B$3,"nm")</f>
        <v>1.7873941674506115E-2</v>
      </c>
      <c r="C10" s="47">
        <f t="shared" ref="C10:N10" si="13">+IFERROR(C8/C$3,"nm")</f>
        <v>1.763529681712394E-2</v>
      </c>
      <c r="D10" s="47">
        <f t="shared" si="13"/>
        <v>1.8211150063599416E-2</v>
      </c>
      <c r="E10" s="47">
        <f t="shared" si="13"/>
        <v>1.7514861534000292E-2</v>
      </c>
      <c r="F10" s="47">
        <f t="shared" si="13"/>
        <v>1.4992745445752055E-2</v>
      </c>
      <c r="G10" s="47">
        <f t="shared" si="13"/>
        <v>1.6419253261358523E-2</v>
      </c>
      <c r="H10" s="47">
        <f t="shared" si="13"/>
        <v>1.3642919632090416E-2</v>
      </c>
      <c r="I10" s="47">
        <f t="shared" si="13"/>
        <v>1.2624898730758845E-2</v>
      </c>
      <c r="J10" s="47">
        <f t="shared" si="13"/>
        <v>6.5552503052503056E-2</v>
      </c>
      <c r="K10" s="47">
        <f t="shared" si="13"/>
        <v>0.10548725675038342</v>
      </c>
      <c r="L10" s="47">
        <f t="shared" si="13"/>
        <v>0.16588983437493224</v>
      </c>
      <c r="M10" s="47">
        <f t="shared" si="13"/>
        <v>0.26071552970147777</v>
      </c>
      <c r="N10" s="47">
        <f t="shared" si="13"/>
        <v>0.40948769188488626</v>
      </c>
    </row>
    <row r="11" spans="1:15" x14ac:dyDescent="0.3">
      <c r="A11" s="41" t="s">
        <v>134</v>
      </c>
      <c r="B11" s="1">
        <f>[1]Historicals!B142</f>
        <v>4233</v>
      </c>
      <c r="C11" s="1">
        <f>[1]Historicals!C142</f>
        <v>4642</v>
      </c>
      <c r="D11" s="1">
        <f>[1]Historicals!D142</f>
        <v>4945</v>
      </c>
      <c r="E11" s="1">
        <f>[1]Historicals!E142</f>
        <v>4379</v>
      </c>
      <c r="F11" s="1">
        <f>[1]Historicals!F142</f>
        <v>4850</v>
      </c>
      <c r="G11" s="1">
        <f>[1]Historicals!G142</f>
        <v>2976</v>
      </c>
      <c r="H11" s="1">
        <f>[1]Historicals!H142</f>
        <v>6923</v>
      </c>
      <c r="I11" s="1">
        <f>[1]Historicals!I142</f>
        <v>6856</v>
      </c>
      <c r="J11" s="62">
        <v>6195</v>
      </c>
      <c r="K11" s="62">
        <f t="shared" ref="K11:N11" si="14">J11*(1+J12)</f>
        <v>5597.7282672112024</v>
      </c>
      <c r="L11" s="62">
        <f t="shared" si="14"/>
        <v>5058.040638181651</v>
      </c>
      <c r="M11" s="62">
        <f t="shared" si="14"/>
        <v>4570.3853199438927</v>
      </c>
      <c r="N11" s="62">
        <f t="shared" si="14"/>
        <v>4129.7457784498856</v>
      </c>
      <c r="O11" t="s">
        <v>145</v>
      </c>
    </row>
    <row r="12" spans="1:15" x14ac:dyDescent="0.3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+IFERROR(I11/H11-1,"0")</f>
        <v>-9.67788530983682E-3</v>
      </c>
      <c r="J12" s="47">
        <f>+IFERROR(J11/I11-1,"0")</f>
        <v>-9.6411901983663895E-2</v>
      </c>
      <c r="K12" s="47">
        <f t="shared" ref="K12:N12" si="16">+IFERROR(K11/J11-1,"nm")</f>
        <v>-9.6411901983663895E-2</v>
      </c>
      <c r="L12" s="47">
        <f t="shared" si="16"/>
        <v>-9.6411901983663895E-2</v>
      </c>
      <c r="M12" s="47">
        <f t="shared" si="16"/>
        <v>-9.6411901983663895E-2</v>
      </c>
      <c r="N12" s="47">
        <f t="shared" si="16"/>
        <v>-9.6411901983663895E-2</v>
      </c>
    </row>
    <row r="13" spans="1:15" x14ac:dyDescent="0.3">
      <c r="A13" s="42" t="s">
        <v>131</v>
      </c>
      <c r="B13" s="47">
        <f>+IFERROR(B11/B$3,"nm")</f>
        <v>0.14748615030835163</v>
      </c>
      <c r="C13" s="47">
        <f t="shared" ref="C13:N13" si="17">+IFERROR(C11/C$3,"nm")</f>
        <v>0.15216179893139278</v>
      </c>
      <c r="D13" s="47">
        <f t="shared" si="17"/>
        <v>0.15341420283560325</v>
      </c>
      <c r="E13" s="47">
        <f t="shared" si="17"/>
        <v>0.12698274612150209</v>
      </c>
      <c r="F13" s="47">
        <f t="shared" si="17"/>
        <v>0.13031328926863345</v>
      </c>
      <c r="G13" s="47">
        <f t="shared" si="17"/>
        <v>8.3670715249662617E-2</v>
      </c>
      <c r="H13" s="47">
        <f t="shared" si="17"/>
        <v>0.16369139101033267</v>
      </c>
      <c r="I13" s="47">
        <f t="shared" si="17"/>
        <v>0.15428931496984427</v>
      </c>
      <c r="J13" s="47">
        <f t="shared" si="17"/>
        <v>0.47275641025641024</v>
      </c>
      <c r="K13" s="47">
        <f t="shared" si="17"/>
        <v>0.44894004372868651</v>
      </c>
      <c r="L13" s="47">
        <f t="shared" si="17"/>
        <v>0.41662787047278882</v>
      </c>
      <c r="M13" s="47">
        <f t="shared" si="17"/>
        <v>0.38639869015276079</v>
      </c>
      <c r="N13" s="47">
        <f t="shared" si="17"/>
        <v>0.35813749888822694</v>
      </c>
    </row>
    <row r="14" spans="1:15" x14ac:dyDescent="0.3">
      <c r="A14" s="41" t="s">
        <v>135</v>
      </c>
      <c r="B14" s="1">
        <f>[1]Historicals!B164</f>
        <v>963</v>
      </c>
      <c r="C14" s="1">
        <f>[1]Historicals!C164</f>
        <v>1143</v>
      </c>
      <c r="D14" s="1">
        <f>[1]Historicals!D164</f>
        <v>1092</v>
      </c>
      <c r="E14" s="1">
        <f>[1]Historicals!E164</f>
        <v>1028</v>
      </c>
      <c r="F14" s="1">
        <f>[1]Historicals!F164</f>
        <v>1119</v>
      </c>
      <c r="G14" s="1">
        <f>[1]Historicals!G164</f>
        <v>1086</v>
      </c>
      <c r="H14" s="1">
        <f>[1]Historicals!H164</f>
        <v>695</v>
      </c>
      <c r="I14" s="1">
        <f>[1]Historicals!I164</f>
        <v>758</v>
      </c>
      <c r="J14" s="1">
        <v>969</v>
      </c>
      <c r="K14" s="1">
        <f t="shared" ref="K14:N14" si="18">J14*(1+J15)</f>
        <v>969</v>
      </c>
      <c r="L14" s="1">
        <f t="shared" si="18"/>
        <v>969</v>
      </c>
      <c r="M14" s="1">
        <f t="shared" si="18"/>
        <v>969</v>
      </c>
      <c r="N14" s="1">
        <f t="shared" si="18"/>
        <v>969</v>
      </c>
      <c r="O14" t="s">
        <v>146</v>
      </c>
    </row>
    <row r="15" spans="1:15" x14ac:dyDescent="0.3">
      <c r="A15" s="42" t="s">
        <v>129</v>
      </c>
      <c r="B15" s="47" t="str">
        <f t="shared" ref="B15:G15" si="19">+IFERROR(B14/A14-1,"nm")</f>
        <v>nm</v>
      </c>
      <c r="C15" s="47">
        <f t="shared" si="19"/>
        <v>0.18691588785046731</v>
      </c>
      <c r="D15" s="47">
        <f t="shared" si="19"/>
        <v>-4.4619422572178435E-2</v>
      </c>
      <c r="E15" s="47">
        <f t="shared" si="19"/>
        <v>-5.8608058608058622E-2</v>
      </c>
      <c r="F15" s="47">
        <f t="shared" si="19"/>
        <v>8.8521400778210024E-2</v>
      </c>
      <c r="G15" s="47">
        <f t="shared" si="19"/>
        <v>-2.9490616621983934E-2</v>
      </c>
      <c r="H15" s="47">
        <f>+IFERROR(I14/G14-1,"nm")</f>
        <v>-0.30202578268876612</v>
      </c>
      <c r="I15" s="47" t="str">
        <f>+IFERROR(#REF!/I14-1,"0")</f>
        <v>0</v>
      </c>
      <c r="J15" s="47" t="str">
        <f>+IFERROR(J14/#REF!-1,"0")</f>
        <v>0</v>
      </c>
      <c r="K15" s="47">
        <f t="shared" ref="K15:N15" si="20">+IFERROR(K14/J14-1,"nm")</f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3">
      <c r="A16" s="42" t="s">
        <v>133</v>
      </c>
      <c r="B16" s="47">
        <f>+IFERROR(B14/B$3,"nm")</f>
        <v>3.3552837880213231E-2</v>
      </c>
      <c r="C16" s="47">
        <f t="shared" ref="C16:G16" si="21">+IFERROR(C14/C$3,"nm")</f>
        <v>3.7466810895859966E-2</v>
      </c>
      <c r="D16" s="47">
        <f t="shared" si="21"/>
        <v>3.3878323457326345E-2</v>
      </c>
      <c r="E16" s="47">
        <f t="shared" si="21"/>
        <v>2.9810062345947512E-2</v>
      </c>
      <c r="F16" s="47">
        <f t="shared" si="21"/>
        <v>3.0066097049814607E-2</v>
      </c>
      <c r="G16" s="47">
        <f t="shared" si="21"/>
        <v>3.053306342780027E-2</v>
      </c>
      <c r="H16" s="47">
        <f>+IFERROR(I14/H$3,"nm")</f>
        <v>1.7922587662260896E-2</v>
      </c>
      <c r="I16" s="47" t="str">
        <f>+IFERROR(#REF!/I$3,"nm")</f>
        <v>nm</v>
      </c>
      <c r="J16" s="47">
        <f t="shared" ref="J16:N16" si="22">+IFERROR(J14/J$3,"nm")</f>
        <v>7.3946886446886448E-2</v>
      </c>
      <c r="K16" s="47">
        <f t="shared" si="22"/>
        <v>7.771418718576463E-2</v>
      </c>
      <c r="L16" s="47">
        <f t="shared" si="22"/>
        <v>7.981596736108186E-2</v>
      </c>
      <c r="M16" s="47">
        <f t="shared" si="22"/>
        <v>8.1923143137222779E-2</v>
      </c>
      <c r="N16" s="47">
        <f t="shared" si="22"/>
        <v>8.4033074925244616E-2</v>
      </c>
    </row>
    <row r="17" spans="1:15" x14ac:dyDescent="0.3">
      <c r="A17" s="9" t="s">
        <v>141</v>
      </c>
      <c r="B17" s="1">
        <f>[1]Historicals!B153</f>
        <v>3011</v>
      </c>
      <c r="C17" s="1">
        <f>[1]Historicals!C153</f>
        <v>3520</v>
      </c>
      <c r="D17" s="1">
        <f>[1]Historicals!D153</f>
        <v>3989</v>
      </c>
      <c r="E17" s="1">
        <f>[1]Historicals!E153</f>
        <v>4454</v>
      </c>
      <c r="F17" s="1">
        <f>[1]Historicals!F153</f>
        <v>4744</v>
      </c>
      <c r="G17" s="1">
        <f>[1]Historicals!G153</f>
        <v>4866</v>
      </c>
      <c r="H17" s="1">
        <f>[1]Historicals!H153</f>
        <v>4904</v>
      </c>
      <c r="I17" s="1">
        <f>[1]Historicals!I153</f>
        <v>4791</v>
      </c>
      <c r="J17" s="1">
        <v>5081</v>
      </c>
      <c r="K17" s="1">
        <v>4791</v>
      </c>
      <c r="L17" s="1">
        <v>4791</v>
      </c>
      <c r="M17" s="1">
        <v>4791</v>
      </c>
      <c r="N17" s="1"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+IFERROR(I17/H17-1,"0")</f>
        <v>-2.3042414355628038E-2</v>
      </c>
      <c r="J18" s="47">
        <f t="shared" ref="J18:N18" si="24">+IFERROR(J17/I17-1,"nm")</f>
        <v>6.0530160718012871E-2</v>
      </c>
      <c r="K18" s="47">
        <f t="shared" si="24"/>
        <v>-5.7075378862428638E-2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3">
      <c r="A19" s="42" t="s">
        <v>133</v>
      </c>
      <c r="B19" s="47">
        <f>+IFERROR(B17/B$3,"nm")</f>
        <v>0.10490923661196475</v>
      </c>
      <c r="C19" s="47">
        <f t="shared" ref="C19:N19" si="25">+IFERROR(C17/C$3,"nm")</f>
        <v>0.11538335463991871</v>
      </c>
      <c r="D19" s="47">
        <f t="shared" si="25"/>
        <v>0.12375515775757764</v>
      </c>
      <c r="E19" s="47">
        <f t="shared" si="25"/>
        <v>0.12915760475569088</v>
      </c>
      <c r="F19" s="47">
        <f t="shared" si="25"/>
        <v>0.12746520500832931</v>
      </c>
      <c r="G19" s="47">
        <f t="shared" si="25"/>
        <v>0.13680836707152497</v>
      </c>
      <c r="H19" s="47">
        <f t="shared" si="25"/>
        <v>0.11595299458539238</v>
      </c>
      <c r="I19" s="47">
        <f t="shared" si="25"/>
        <v>0.10781798541722927</v>
      </c>
      <c r="J19" s="47">
        <f t="shared" si="25"/>
        <v>0.38774420024420025</v>
      </c>
      <c r="K19" s="47">
        <f t="shared" si="25"/>
        <v>0.38424011435190747</v>
      </c>
      <c r="L19" s="47">
        <f t="shared" si="25"/>
        <v>0.39463188815990013</v>
      </c>
      <c r="M19" s="47">
        <f t="shared" si="25"/>
        <v>0.40505033928837392</v>
      </c>
      <c r="N19" s="47">
        <f t="shared" si="25"/>
        <v>0.41548241689045096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21608</v>
      </c>
      <c r="K21" s="9">
        <f t="shared" ref="K21:N21" si="26">+SUM(K23+K27+K31)</f>
        <v>21608</v>
      </c>
      <c r="L21" s="9">
        <f t="shared" si="26"/>
        <v>21608</v>
      </c>
      <c r="M21" s="9">
        <f t="shared" si="26"/>
        <v>21608</v>
      </c>
      <c r="N21" s="9">
        <f t="shared" si="26"/>
        <v>21608</v>
      </c>
    </row>
    <row r="22" spans="1:15" x14ac:dyDescent="0.3">
      <c r="A22" s="44" t="s">
        <v>129</v>
      </c>
      <c r="B22" s="47" t="str">
        <f t="shared" ref="B22:H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si="27"/>
        <v>0.18606738470035911</v>
      </c>
      <c r="I22" s="47">
        <f>+IFERROR(I21/H21-1,"nm")</f>
        <v>6.8339251411607238E-2</v>
      </c>
      <c r="J22" s="47">
        <f t="shared" ref="J22:N22" si="28">+IFERROR(J21/I21-1,"nm")</f>
        <v>0.17735520078461287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3">
      <c r="A23" s="45" t="s">
        <v>113</v>
      </c>
      <c r="B23" s="9">
        <f>+[1]Historicals!B108</f>
        <v>8506</v>
      </c>
      <c r="C23" s="9">
        <f>+[1]Historicals!C108</f>
        <v>9299</v>
      </c>
      <c r="D23" s="9">
        <f>+[1]Historicals!D108</f>
        <v>9684</v>
      </c>
      <c r="E23" s="9">
        <f>+[1]Historicals!E108</f>
        <v>9322</v>
      </c>
      <c r="F23" s="9">
        <f>+[1]Historicals!F108</f>
        <v>10045</v>
      </c>
      <c r="G23" s="9">
        <f>+[1]Historicals!G108</f>
        <v>9329</v>
      </c>
      <c r="H23" s="9">
        <f>+[1]Historicals!H108</f>
        <v>11644</v>
      </c>
      <c r="I23" s="9">
        <f>+[1]Historicals!I108</f>
        <v>12228</v>
      </c>
      <c r="J23" s="9">
        <v>14897</v>
      </c>
      <c r="K23" s="9">
        <f t="shared" ref="K23:N23" si="29">+J23*(1+K24)</f>
        <v>14897</v>
      </c>
      <c r="L23" s="9">
        <f t="shared" si="29"/>
        <v>14897</v>
      </c>
      <c r="M23" s="9">
        <f t="shared" si="29"/>
        <v>14897</v>
      </c>
      <c r="N23" s="9">
        <f t="shared" si="29"/>
        <v>14897</v>
      </c>
    </row>
    <row r="24" spans="1:15" x14ac:dyDescent="0.3">
      <c r="A24" s="44" t="s">
        <v>129</v>
      </c>
      <c r="B24" s="47" t="str">
        <f t="shared" ref="B24:H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si="30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3">
      <c r="A25" s="44" t="s">
        <v>137</v>
      </c>
      <c r="B25" s="47" t="str">
        <f>+[1]Historicals!B180</f>
        <v>-</v>
      </c>
      <c r="C25" s="47">
        <f>+[1]Historicals!C180</f>
        <v>9.3228309428638606E-2</v>
      </c>
      <c r="D25" s="47">
        <f>+[1]Historicals!D180</f>
        <v>4.1402301322722872E-2</v>
      </c>
      <c r="E25" s="47">
        <f>+[1]Historicals!E180</f>
        <v>-3.7381247418422137E-2</v>
      </c>
      <c r="F25" s="47">
        <f>+[1]Historicals!F180</f>
        <v>7.7558463848959452E-2</v>
      </c>
      <c r="G25" s="47">
        <f>+[1]Historicals!G180</f>
        <v>-7.1279243404678949E-2</v>
      </c>
      <c r="H25" s="47">
        <f>+[1]Historicals!H180</f>
        <v>0.24815092721620752</v>
      </c>
      <c r="I25" s="47">
        <f>+[1]Historicals!I180</f>
        <v>0.05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3">
      <c r="A26" s="44" t="s">
        <v>138</v>
      </c>
      <c r="B26" s="47" t="str">
        <f t="shared" ref="B26:H26" si="33">+IFERROR(B24-B25,"nm")</f>
        <v>nm</v>
      </c>
      <c r="C26" s="47">
        <f t="shared" si="33"/>
        <v>-2.7755575615628914E-17</v>
      </c>
      <c r="D26" s="47">
        <f t="shared" si="33"/>
        <v>6.2450045135165055E-17</v>
      </c>
      <c r="E26" s="47">
        <f t="shared" si="33"/>
        <v>-5.5511151231257827E-17</v>
      </c>
      <c r="F26" s="47">
        <f t="shared" si="33"/>
        <v>2.7755575615628914E-17</v>
      </c>
      <c r="G26" s="47">
        <f t="shared" si="33"/>
        <v>0</v>
      </c>
      <c r="H26" s="47">
        <f t="shared" si="33"/>
        <v>-5.5511151231257827E-17</v>
      </c>
      <c r="I26" s="47">
        <f>+IFERROR(I24-I25,"nm")</f>
        <v>1.5458605290268046E-4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3">
      <c r="A27" s="45" t="s">
        <v>114</v>
      </c>
      <c r="B27" s="9">
        <f>+[1]Historicals!B109</f>
        <v>4410</v>
      </c>
      <c r="C27" s="9">
        <f>+[1]Historicals!C109</f>
        <v>4746</v>
      </c>
      <c r="D27" s="9">
        <f>+[1]Historicals!D109</f>
        <v>4886</v>
      </c>
      <c r="E27" s="9">
        <f>+[1]Historicals!E109</f>
        <v>4938</v>
      </c>
      <c r="F27" s="9">
        <f>+[1]Historicals!F109</f>
        <v>5260</v>
      </c>
      <c r="G27" s="9">
        <f>+[1]Historicals!G109</f>
        <v>4639</v>
      </c>
      <c r="H27" s="9">
        <f>+[1]Historicals!H109</f>
        <v>5028</v>
      </c>
      <c r="I27" s="9">
        <f>+[1]Historicals!I109</f>
        <v>5492</v>
      </c>
      <c r="J27" s="9">
        <v>5947</v>
      </c>
      <c r="K27" s="9">
        <f t="shared" ref="K27:N27" si="34">+J27*(1+K28)</f>
        <v>5947</v>
      </c>
      <c r="L27" s="9">
        <f t="shared" si="34"/>
        <v>5947</v>
      </c>
      <c r="M27" s="9">
        <f t="shared" si="34"/>
        <v>5947</v>
      </c>
      <c r="N27" s="9">
        <f t="shared" si="34"/>
        <v>5947</v>
      </c>
    </row>
    <row r="28" spans="1:15" x14ac:dyDescent="0.3">
      <c r="A28" s="44" t="s">
        <v>129</v>
      </c>
      <c r="B28" s="47" t="str">
        <f t="shared" ref="B28:H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3">
      <c r="A29" s="44" t="s">
        <v>137</v>
      </c>
      <c r="B29" s="47" t="str">
        <f>+[1]Historicals!B184</f>
        <v>-</v>
      </c>
      <c r="C29" s="47">
        <f>+[1]Historicals!C184</f>
        <v>3.4871358707208165E-2</v>
      </c>
      <c r="D29" s="47">
        <f>+[1]Historicals!D184</f>
        <v>2.6299568522703924E-2</v>
      </c>
      <c r="E29" s="47">
        <f>+[1]Historicals!E184</f>
        <v>0.17617617617617617</v>
      </c>
      <c r="F29" s="47">
        <f>+[1]Historicals!F184</f>
        <v>7.114893617021277E-2</v>
      </c>
      <c r="G29" s="47">
        <f>+[1]Historicals!G184</f>
        <v>-6.3721595423486418E-2</v>
      </c>
      <c r="H29" s="47">
        <f>+[1]Historicals!H184</f>
        <v>0.18295994568906992</v>
      </c>
      <c r="I29" s="47">
        <f>+[1]Historicals!I184</f>
        <v>0.09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3">
      <c r="A30" s="44" t="s">
        <v>138</v>
      </c>
      <c r="B30" s="47" t="str">
        <f t="shared" ref="B30:H30" si="38">+IFERROR(B28-B29,"nm")</f>
        <v>nm</v>
      </c>
      <c r="C30" s="47">
        <f t="shared" si="38"/>
        <v>4.1319117483267977E-2</v>
      </c>
      <c r="D30" s="47">
        <f t="shared" si="38"/>
        <v>3.1989565510423604E-3</v>
      </c>
      <c r="E30" s="47">
        <f t="shared" si="38"/>
        <v>-0.16553352369971283</v>
      </c>
      <c r="F30" s="47">
        <f t="shared" si="38"/>
        <v>-5.9403496979567455E-3</v>
      </c>
      <c r="G30" s="47">
        <f t="shared" si="38"/>
        <v>-5.4339241078414716E-2</v>
      </c>
      <c r="H30" s="47">
        <f t="shared" si="38"/>
        <v>-9.9105666749643384E-2</v>
      </c>
      <c r="I30" s="47">
        <f>+IFERROR(I28-I29,"nm")</f>
        <v>2.2832140015910107E-3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3">
      <c r="A31" s="45" t="s">
        <v>115</v>
      </c>
      <c r="B31" s="9">
        <f>+[1]Historicals!B110</f>
        <v>824</v>
      </c>
      <c r="C31" s="9">
        <f>+[1]Historicals!C110</f>
        <v>719</v>
      </c>
      <c r="D31" s="9">
        <f>+[1]Historicals!D110</f>
        <v>646</v>
      </c>
      <c r="E31" s="9">
        <f>+[1]Historicals!E110</f>
        <v>595</v>
      </c>
      <c r="F31" s="9">
        <f>+[1]Historicals!F110</f>
        <v>597</v>
      </c>
      <c r="G31" s="9">
        <f>+[1]Historicals!G110</f>
        <v>516</v>
      </c>
      <c r="H31" s="9">
        <f>+[1]Historicals!H110</f>
        <v>507</v>
      </c>
      <c r="I31" s="9">
        <f>+[1]Historicals!I110</f>
        <v>633</v>
      </c>
      <c r="J31" s="9">
        <v>764</v>
      </c>
      <c r="K31" s="9">
        <f t="shared" ref="K31:N31" si="39">+J31*(1+K32)</f>
        <v>764</v>
      </c>
      <c r="L31" s="9">
        <f t="shared" si="39"/>
        <v>764</v>
      </c>
      <c r="M31" s="9">
        <f t="shared" si="39"/>
        <v>764</v>
      </c>
      <c r="N31" s="9">
        <f t="shared" si="39"/>
        <v>764</v>
      </c>
    </row>
    <row r="32" spans="1:15" x14ac:dyDescent="0.3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3">
      <c r="A33" s="44" t="s">
        <v>137</v>
      </c>
      <c r="B33" s="47" t="str">
        <f>+[1]Historicals!B182</f>
        <v>-</v>
      </c>
      <c r="C33" s="47">
        <f>+[1]Historicals!C182</f>
        <v>-0.12742718446601942</v>
      </c>
      <c r="D33" s="47">
        <f>+[1]Historicals!D182</f>
        <v>-0.10152990264255911</v>
      </c>
      <c r="E33" s="47">
        <f>+[1]Historicals!E182</f>
        <v>-7.8947368421052627E-2</v>
      </c>
      <c r="F33" s="47">
        <f>+[1]Historicals!F182</f>
        <v>3.3613445378151263E-3</v>
      </c>
      <c r="G33" s="47">
        <f>+[1]Historicals!G182</f>
        <v>-0.135678391959799</v>
      </c>
      <c r="H33" s="47">
        <f>+[1]Historicals!H182</f>
        <v>-1.7441860465116279E-2</v>
      </c>
      <c r="I33" s="47">
        <f>+[1]Historicals!I182</f>
        <v>0.25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3">
      <c r="A34" s="44" t="s">
        <v>138</v>
      </c>
      <c r="B34" s="47" t="str">
        <f t="shared" ref="B34:H34" si="43">+IFERROR(B32-B33,"nm")</f>
        <v>nm</v>
      </c>
      <c r="C34" s="47">
        <f t="shared" si="43"/>
        <v>0</v>
      </c>
      <c r="D34" s="47">
        <f t="shared" si="43"/>
        <v>-1.3877787807814457E-17</v>
      </c>
      <c r="E34" s="47">
        <f t="shared" si="43"/>
        <v>-2.7755575615628914E-17</v>
      </c>
      <c r="F34" s="47">
        <f t="shared" si="43"/>
        <v>-1.214306433183765E-17</v>
      </c>
      <c r="G34" s="47">
        <f t="shared" si="43"/>
        <v>-2.7755575615628914E-17</v>
      </c>
      <c r="H34" s="47">
        <f t="shared" si="43"/>
        <v>-3.1225022567582528E-17</v>
      </c>
      <c r="I34" s="47">
        <f>+IFERROR(I32-I33,"nm")</f>
        <v>-1.4792899408284654E-3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3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6166.9865417098017</v>
      </c>
      <c r="K35" s="48">
        <f t="shared" ref="K35:N35" si="45">+K21*K37</f>
        <v>6166.9865417098017</v>
      </c>
      <c r="L35" s="48">
        <f t="shared" si="45"/>
        <v>6166.9865417098017</v>
      </c>
      <c r="M35" s="48">
        <f t="shared" si="45"/>
        <v>6166.9865417098017</v>
      </c>
      <c r="N35" s="48">
        <f t="shared" si="45"/>
        <v>6166.9865417098017</v>
      </c>
    </row>
    <row r="36" spans="1:14" x14ac:dyDescent="0.3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0.17735520078461287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3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145.992044897292</v>
      </c>
      <c r="K38" s="48">
        <f t="shared" ref="K38:N38" si="50">+K41*K48</f>
        <v>145.992044897292</v>
      </c>
      <c r="L38" s="48">
        <f t="shared" si="50"/>
        <v>145.992044897292</v>
      </c>
      <c r="M38" s="48">
        <f t="shared" si="50"/>
        <v>145.992044897292</v>
      </c>
      <c r="N38" s="48">
        <f t="shared" si="50"/>
        <v>145.992044897292</v>
      </c>
    </row>
    <row r="39" spans="1:14" x14ac:dyDescent="0.3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0.17735520078461287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3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6.7563886013185855E-3</v>
      </c>
      <c r="K40" s="47">
        <f t="shared" si="54"/>
        <v>6.7563886013185855E-3</v>
      </c>
      <c r="L40" s="47">
        <f t="shared" si="54"/>
        <v>6.7563886013185855E-3</v>
      </c>
      <c r="M40" s="47">
        <f t="shared" si="54"/>
        <v>6.7563886013185855E-3</v>
      </c>
      <c r="N40" s="47">
        <f t="shared" si="54"/>
        <v>6.7563886013185855E-3</v>
      </c>
    </row>
    <row r="41" spans="1:14" x14ac:dyDescent="0.3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6020.9944968125101</v>
      </c>
      <c r="K42" s="9">
        <f t="shared" ref="K42:N42" si="57">+K35-K38</f>
        <v>6020.9944968125101</v>
      </c>
      <c r="L42" s="9">
        <f t="shared" si="57"/>
        <v>6020.9944968125101</v>
      </c>
      <c r="M42" s="9">
        <f t="shared" si="57"/>
        <v>6020.9944968125101</v>
      </c>
      <c r="N42" s="9">
        <f t="shared" si="57"/>
        <v>6020.9944968125101</v>
      </c>
    </row>
    <row r="43" spans="1:14" x14ac:dyDescent="0.3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0.17735520078461287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3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171.89385931455351</v>
      </c>
      <c r="K45" s="48">
        <f t="shared" ref="K45:N45" si="62">+K21*K47</f>
        <v>171.89385931455351</v>
      </c>
      <c r="L45" s="48">
        <f t="shared" si="62"/>
        <v>171.89385931455351</v>
      </c>
      <c r="M45" s="48">
        <f t="shared" si="62"/>
        <v>171.89385931455351</v>
      </c>
      <c r="N45" s="48">
        <f t="shared" si="62"/>
        <v>171.89385931455351</v>
      </c>
    </row>
    <row r="46" spans="1:14" x14ac:dyDescent="0.3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0.17735520078461309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3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752.32997330136766</v>
      </c>
      <c r="K48" s="48">
        <f t="shared" ref="K48:N48" si="67">+K21*K50</f>
        <v>752.32997330136766</v>
      </c>
      <c r="L48" s="48">
        <f t="shared" si="67"/>
        <v>752.32997330136766</v>
      </c>
      <c r="M48" s="48">
        <f t="shared" si="67"/>
        <v>752.32997330136766</v>
      </c>
      <c r="N48" s="48">
        <f t="shared" si="67"/>
        <v>752.32997330136766</v>
      </c>
    </row>
    <row r="49" spans="1:14" x14ac:dyDescent="0.3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3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Historicals!B111</f>
        <v>7126</v>
      </c>
      <c r="C52" s="1">
        <f>Historicals!C111</f>
        <v>7315</v>
      </c>
      <c r="D52" s="1">
        <f>Historicals!D111</f>
        <v>7698</v>
      </c>
      <c r="E52" s="1">
        <f>Historicals!E111</f>
        <v>9242</v>
      </c>
      <c r="F52" s="1">
        <f>Historicals!F111</f>
        <v>9812</v>
      </c>
      <c r="G52" s="1">
        <f>Historicals!G111</f>
        <v>9347</v>
      </c>
      <c r="H52" s="1">
        <f>Historicals!H111</f>
        <v>11456</v>
      </c>
      <c r="I52" s="1">
        <f>Historicals!I111</f>
        <v>12479</v>
      </c>
    </row>
    <row r="53" spans="1:14" x14ac:dyDescent="0.3">
      <c r="A53" s="46" t="s">
        <v>129</v>
      </c>
      <c r="B53" s="65" t="str">
        <f>+IFERROR(B52/A52-1,"nm")</f>
        <v>nm</v>
      </c>
      <c r="C53" s="65">
        <f t="shared" ref="C53:I53" si="72">+IFERROR(C52/B52-1,"nm")</f>
        <v>2.6522593320235766E-2</v>
      </c>
      <c r="D53" s="65">
        <f t="shared" si="72"/>
        <v>5.2358168147641937E-2</v>
      </c>
      <c r="E53" s="65">
        <f t="shared" si="72"/>
        <v>0.20057157703299566</v>
      </c>
      <c r="F53" s="65">
        <f t="shared" si="72"/>
        <v>6.1674962129409261E-2</v>
      </c>
      <c r="G53" s="65">
        <f t="shared" si="72"/>
        <v>-4.7390949857317621E-2</v>
      </c>
      <c r="H53" s="65">
        <f t="shared" si="72"/>
        <v>0.22563389322777372</v>
      </c>
      <c r="I53" s="65">
        <f t="shared" si="72"/>
        <v>8.9298184357541999E-2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2" zoomScale="80" zoomScaleNormal="80" workbookViewId="0">
      <selection activeCell="K15" sqref="K15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Historicals!B2</f>
        <v>30601</v>
      </c>
      <c r="C3" s="9">
        <f>Historicals!C2</f>
        <v>32376</v>
      </c>
      <c r="D3" s="9">
        <f>Historicals!D2</f>
        <v>34350</v>
      </c>
      <c r="E3" s="9">
        <f>Historicals!E2</f>
        <v>36397</v>
      </c>
      <c r="F3" s="9">
        <f>Historicals!F2</f>
        <v>39117</v>
      </c>
      <c r="G3" s="9">
        <f>Historicals!G2</f>
        <v>37403</v>
      </c>
      <c r="H3" s="9">
        <f>Historicals!H2</f>
        <v>44538</v>
      </c>
      <c r="I3" s="9">
        <f>Historicals!I2</f>
        <v>46710</v>
      </c>
      <c r="J3" s="9">
        <v>51217</v>
      </c>
      <c r="K3" s="9">
        <f>'Segmental forecast'!K3</f>
        <v>12468.76580827828</v>
      </c>
      <c r="L3" s="9">
        <f>'Segmental forecast'!L3</f>
        <v>12140.427937386408</v>
      </c>
      <c r="M3" s="9">
        <f>'Segmental forecast'!M3</f>
        <v>11828.159454000772</v>
      </c>
      <c r="N3" s="9">
        <f>'Segmental forecast'!N3</f>
        <v>11531.173896254746</v>
      </c>
      <c r="O3" t="s">
        <v>197</v>
      </c>
    </row>
    <row r="4" spans="1:15" x14ac:dyDescent="0.3">
      <c r="A4" s="42" t="s">
        <v>129</v>
      </c>
      <c r="B4" s="9" t="s">
        <v>203</v>
      </c>
      <c r="C4" s="63">
        <f>(C3-B3)/B3</f>
        <v>5.8004640371229696E-2</v>
      </c>
      <c r="D4" s="63">
        <f t="shared" ref="D4:I4" si="2">(D3-C3)/C3</f>
        <v>6.0971089696071165E-2</v>
      </c>
      <c r="E4" s="63">
        <f t="shared" si="2"/>
        <v>5.9592430858806403E-2</v>
      </c>
      <c r="F4" s="63">
        <f t="shared" si="2"/>
        <v>7.4731433909388134E-2</v>
      </c>
      <c r="G4" s="63">
        <f t="shared" si="2"/>
        <v>-4.3817266150267146E-2</v>
      </c>
      <c r="H4" s="63">
        <f t="shared" si="2"/>
        <v>0.1907600994572628</v>
      </c>
      <c r="I4" s="63">
        <f t="shared" si="2"/>
        <v>4.8767344739323724E-2</v>
      </c>
      <c r="J4" s="63">
        <f>(J3-I3)/I3</f>
        <v>9.6488974523656609E-2</v>
      </c>
      <c r="K4" s="63">
        <f t="shared" ref="K4:N4" si="3">(K3-J3)/J3</f>
        <v>-0.75655025073162663</v>
      </c>
      <c r="L4" s="63">
        <f t="shared" si="3"/>
        <v>-2.6332828440316137E-2</v>
      </c>
      <c r="M4" s="63">
        <f t="shared" si="3"/>
        <v>-2.5721373661302886E-2</v>
      </c>
      <c r="N4" s="63">
        <f t="shared" si="3"/>
        <v>-2.5108349181543452E-2</v>
      </c>
    </row>
    <row r="5" spans="1:15" x14ac:dyDescent="0.3">
      <c r="A5" s="1" t="s">
        <v>149</v>
      </c>
      <c r="B5" s="9">
        <f>'Segmental forecast'!B5-B10</f>
        <v>4718</v>
      </c>
      <c r="C5" s="9">
        <f>'Segmental forecast'!C5</f>
        <v>5180</v>
      </c>
      <c r="D5" s="9">
        <f>'Segmental forecast'!D5</f>
        <v>5532</v>
      </c>
      <c r="E5" s="9">
        <f>'Segmental forecast'!E5</f>
        <v>4983</v>
      </c>
      <c r="F5" s="9">
        <f>'Segmental forecast'!F5</f>
        <v>5408</v>
      </c>
      <c r="G5" s="9">
        <f>'Segmental forecast'!G5</f>
        <v>3560</v>
      </c>
      <c r="H5" s="9">
        <f>'Segmental forecast'!H5</f>
        <v>7500</v>
      </c>
      <c r="I5" s="9">
        <f>'Segmental forecast'!I5</f>
        <v>7417</v>
      </c>
      <c r="J5" s="9">
        <f>'Segmental forecast'!J5</f>
        <v>7054</v>
      </c>
      <c r="K5" s="9">
        <f>'Segmental forecast'!K5</f>
        <v>6708.76580827828</v>
      </c>
      <c r="L5" s="9">
        <f>'Segmental forecast'!L5</f>
        <v>6380.4279373864083</v>
      </c>
      <c r="M5" s="9">
        <f>'Segmental forecast'!M5</f>
        <v>6068.1594540007718</v>
      </c>
      <c r="N5" s="9">
        <f>'Segmental forecast'!N5</f>
        <v>5771.1738962547452</v>
      </c>
    </row>
    <row r="6" spans="1:15" x14ac:dyDescent="0.3">
      <c r="A6" s="50" t="s">
        <v>132</v>
      </c>
      <c r="B6" s="56">
        <f>'Segmental forecast'!B8</f>
        <v>513</v>
      </c>
      <c r="C6" s="56">
        <f>'Segmental forecast'!C8</f>
        <v>538</v>
      </c>
      <c r="D6" s="56">
        <f>'Segmental forecast'!D8</f>
        <v>587</v>
      </c>
      <c r="E6" s="56">
        <f>'Segmental forecast'!E8</f>
        <v>604</v>
      </c>
      <c r="F6" s="56">
        <f>'Segmental forecast'!F8</f>
        <v>558</v>
      </c>
      <c r="G6" s="56">
        <f>'Segmental forecast'!G8</f>
        <v>584</v>
      </c>
      <c r="H6" s="56">
        <f>'Segmental forecast'!H8</f>
        <v>577</v>
      </c>
      <c r="I6" s="56">
        <f>'Segmental forecast'!I8</f>
        <v>561</v>
      </c>
      <c r="J6" s="56">
        <f>703+156</f>
        <v>859</v>
      </c>
      <c r="K6" s="56">
        <f>'Segmental forecast'!K8</f>
        <v>1315.2959001782531</v>
      </c>
      <c r="L6" s="56">
        <f>'Segmental forecast'!L8</f>
        <v>2013.9735797738315</v>
      </c>
      <c r="M6" s="56">
        <f>'Segmental forecast'!M8</f>
        <v>3083.7848574433533</v>
      </c>
      <c r="N6" s="56">
        <f>'Segmental forecast'!N8</f>
        <v>4721.8737835006068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J5-J6+(6)</f>
        <v>6201</v>
      </c>
      <c r="K7" s="5">
        <f>'Segmental forecast'!K11</f>
        <v>5597.7282672112024</v>
      </c>
      <c r="L7" s="5">
        <f>'Segmental forecast'!L11</f>
        <v>5058.040638181651</v>
      </c>
      <c r="M7" s="5">
        <f>'Segmental forecast'!M11</f>
        <v>4570.3853199438927</v>
      </c>
      <c r="N7" s="5">
        <f>'Segmental forecast'!N11</f>
        <v>4129.7457784498856</v>
      </c>
    </row>
    <row r="8" spans="1:15" x14ac:dyDescent="0.3">
      <c r="A8" s="42" t="s">
        <v>129</v>
      </c>
      <c r="B8" s="55" t="s">
        <v>203</v>
      </c>
      <c r="C8" s="55">
        <f>(C7-B7)/B7</f>
        <v>9.6621781242617527E-2</v>
      </c>
      <c r="D8" s="55">
        <f t="shared" ref="D8:I8" si="4">(D7-C7)/C7</f>
        <v>6.527358897027144E-2</v>
      </c>
      <c r="E8" s="55">
        <f t="shared" si="4"/>
        <v>-0.11445904954499495</v>
      </c>
      <c r="F8" s="55">
        <f t="shared" si="4"/>
        <v>0.10755880337976707</v>
      </c>
      <c r="G8" s="55">
        <f t="shared" si="4"/>
        <v>-0.38639175257731961</v>
      </c>
      <c r="H8" s="55">
        <f t="shared" si="4"/>
        <v>1.32627688172043</v>
      </c>
      <c r="I8" s="55">
        <f t="shared" si="4"/>
        <v>-9.6778853098367767E-3</v>
      </c>
      <c r="J8" s="55">
        <f t="shared" ref="J8" si="5">(J7-I7)/I7</f>
        <v>-9.5536756126021E-2</v>
      </c>
      <c r="K8" s="55">
        <f t="shared" ref="K8" si="6">(K7-J7)/J7</f>
        <v>-9.7286201062537922E-2</v>
      </c>
      <c r="L8" s="55">
        <f t="shared" ref="L8" si="7">(L7-K7)/K7</f>
        <v>-9.6411901983663922E-2</v>
      </c>
      <c r="M8" s="55">
        <f t="shared" ref="M8" si="8">(M7-L7)/L7</f>
        <v>-9.641190198366395E-2</v>
      </c>
      <c r="N8" s="55">
        <f t="shared" ref="N8" si="9">(N7-M7)/M7</f>
        <v>-9.6411901983663922E-2</v>
      </c>
    </row>
    <row r="9" spans="1:15" x14ac:dyDescent="0.3">
      <c r="A9" s="42" t="s">
        <v>131</v>
      </c>
      <c r="B9" s="55" t="s">
        <v>203</v>
      </c>
      <c r="C9" s="55">
        <f>+IFERROR(C7/C$3,"nm")</f>
        <v>0.14337781072399308</v>
      </c>
      <c r="D9" s="55">
        <f t="shared" ref="D9:N9" si="10">+IFERROR(D7/D$3,"nm")</f>
        <v>0.14395924308588065</v>
      </c>
      <c r="E9" s="55">
        <f t="shared" si="10"/>
        <v>0.12031211363573921</v>
      </c>
      <c r="F9" s="55">
        <f t="shared" si="10"/>
        <v>0.12398701331901731</v>
      </c>
      <c r="G9" s="55">
        <f t="shared" si="10"/>
        <v>7.9565810229126011E-2</v>
      </c>
      <c r="H9" s="55">
        <f t="shared" si="10"/>
        <v>0.1554402981723472</v>
      </c>
      <c r="I9" s="55">
        <f t="shared" si="10"/>
        <v>0.14677799186469706</v>
      </c>
      <c r="J9" s="55">
        <f t="shared" si="10"/>
        <v>0.12107308120350666</v>
      </c>
      <c r="K9" s="55">
        <f t="shared" si="10"/>
        <v>0.44894004372868651</v>
      </c>
      <c r="L9" s="55">
        <f t="shared" si="10"/>
        <v>0.41662787047278882</v>
      </c>
      <c r="M9" s="55">
        <f t="shared" si="10"/>
        <v>0.38639869015276079</v>
      </c>
      <c r="N9" s="55">
        <f t="shared" si="10"/>
        <v>0.35813749888822694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185.4149649941657</v>
      </c>
      <c r="K10" s="3">
        <f t="shared" ref="K10:N10" si="11">J10*(1+K8)</f>
        <v>167.37664742973988</v>
      </c>
      <c r="L10" s="3">
        <f t="shared" si="11"/>
        <v>151.23954650338953</v>
      </c>
      <c r="M10" s="3">
        <f t="shared" si="11"/>
        <v>136.65825416985095</v>
      </c>
      <c r="N10" s="3">
        <f t="shared" si="11"/>
        <v>123.48277196356865</v>
      </c>
    </row>
    <row r="11" spans="1:15" x14ac:dyDescent="0.3">
      <c r="A11" s="4" t="s">
        <v>150</v>
      </c>
      <c r="B11" s="5">
        <f>B7-B10</f>
        <v>4205</v>
      </c>
      <c r="C11" s="5">
        <f t="shared" ref="C11:N11" si="12">C7-C10</f>
        <v>4623</v>
      </c>
      <c r="D11" s="5">
        <f t="shared" si="12"/>
        <v>4886</v>
      </c>
      <c r="E11" s="5">
        <f t="shared" si="12"/>
        <v>4325</v>
      </c>
      <c r="F11" s="5">
        <f t="shared" si="12"/>
        <v>4801</v>
      </c>
      <c r="G11" s="5">
        <f t="shared" si="12"/>
        <v>2887</v>
      </c>
      <c r="H11" s="5">
        <f t="shared" si="12"/>
        <v>6661</v>
      </c>
      <c r="I11" s="5">
        <f t="shared" si="12"/>
        <v>6651</v>
      </c>
      <c r="J11" s="5">
        <f t="shared" si="12"/>
        <v>6015.5850350058345</v>
      </c>
      <c r="K11" s="5">
        <f t="shared" si="12"/>
        <v>5430.3516197814624</v>
      </c>
      <c r="L11" s="5">
        <f t="shared" si="12"/>
        <v>4906.8010916782614</v>
      </c>
      <c r="M11" s="5">
        <f t="shared" si="12"/>
        <v>4433.7270657740419</v>
      </c>
      <c r="N11" s="5">
        <f t="shared" si="12"/>
        <v>4006.263006486317</v>
      </c>
    </row>
    <row r="12" spans="1:15" x14ac:dyDescent="0.3">
      <c r="A12" t="s">
        <v>26</v>
      </c>
      <c r="B12" s="3">
        <f>Historicals!B101</f>
        <v>1262</v>
      </c>
      <c r="C12" s="3">
        <f>Historicals!C101</f>
        <v>748</v>
      </c>
      <c r="D12" s="3">
        <f>Historicals!D101</f>
        <v>703</v>
      </c>
      <c r="E12" s="3">
        <f>Historicals!E101</f>
        <v>529</v>
      </c>
      <c r="F12" s="3">
        <f>Historicals!F101</f>
        <v>757</v>
      </c>
      <c r="G12" s="3">
        <f>Historicals!G101</f>
        <v>1028</v>
      </c>
      <c r="H12" s="3">
        <f>Historicals!H101</f>
        <v>1177</v>
      </c>
      <c r="I12" s="3">
        <f>Historicals!I101</f>
        <v>1231</v>
      </c>
      <c r="J12" s="3">
        <v>1517</v>
      </c>
      <c r="K12" s="3">
        <f>Historicals!K101</f>
        <v>0</v>
      </c>
      <c r="L12" s="3">
        <f>Historicals!L101</f>
        <v>0</v>
      </c>
      <c r="M12" s="3">
        <f>Historicals!M101</f>
        <v>0</v>
      </c>
      <c r="N12" s="3">
        <f>Historicals!N101</f>
        <v>0</v>
      </c>
    </row>
    <row r="13" spans="1:15" x14ac:dyDescent="0.3">
      <c r="A13" s="51" t="s">
        <v>151</v>
      </c>
      <c r="B13" s="57">
        <f>B12/B11</f>
        <v>0.30011890606420927</v>
      </c>
      <c r="C13" s="57">
        <f t="shared" ref="C13:I13" si="13">C12/C11</f>
        <v>0.16179969716634221</v>
      </c>
      <c r="D13" s="57">
        <f t="shared" si="13"/>
        <v>0.14388047482603356</v>
      </c>
      <c r="E13" s="57">
        <f t="shared" si="13"/>
        <v>0.12231213872832369</v>
      </c>
      <c r="F13" s="57">
        <f t="shared" si="13"/>
        <v>0.15767548427410957</v>
      </c>
      <c r="G13" s="57">
        <f t="shared" si="13"/>
        <v>0.35607897471423622</v>
      </c>
      <c r="H13" s="57">
        <f t="shared" si="13"/>
        <v>0.176700195165891</v>
      </c>
      <c r="I13" s="57">
        <f t="shared" si="13"/>
        <v>0.18508494963163435</v>
      </c>
      <c r="J13" s="57">
        <f t="shared" ref="J13" si="14">J12/J11</f>
        <v>0.25217829873109404</v>
      </c>
      <c r="K13" s="57">
        <f t="shared" ref="K13" si="15">K12/K11</f>
        <v>0</v>
      </c>
      <c r="L13" s="57">
        <f t="shared" ref="L13" si="16">L12/L11</f>
        <v>0</v>
      </c>
      <c r="M13" s="57">
        <f t="shared" ref="M13" si="17">M12/M11</f>
        <v>0</v>
      </c>
      <c r="N13" s="57">
        <f t="shared" ref="N13" si="18">N12/N11</f>
        <v>0</v>
      </c>
    </row>
    <row r="14" spans="1:15" ht="15" thickBot="1" x14ac:dyDescent="0.35">
      <c r="A14" s="6" t="s">
        <v>152</v>
      </c>
      <c r="B14" s="7">
        <f>B11-B12</f>
        <v>2943</v>
      </c>
      <c r="C14" s="7">
        <f t="shared" ref="C14:N14" si="19">C11-C12</f>
        <v>3875</v>
      </c>
      <c r="D14" s="7">
        <f t="shared" si="19"/>
        <v>4183</v>
      </c>
      <c r="E14" s="7">
        <f t="shared" si="19"/>
        <v>3796</v>
      </c>
      <c r="F14" s="7">
        <f t="shared" si="19"/>
        <v>4044</v>
      </c>
      <c r="G14" s="7">
        <f t="shared" si="19"/>
        <v>1859</v>
      </c>
      <c r="H14" s="7">
        <f t="shared" si="19"/>
        <v>5484</v>
      </c>
      <c r="I14" s="7">
        <f t="shared" si="19"/>
        <v>5420</v>
      </c>
      <c r="J14" s="7">
        <f t="shared" si="19"/>
        <v>4498.5850350058345</v>
      </c>
      <c r="K14" s="7">
        <f t="shared" si="19"/>
        <v>5430.3516197814624</v>
      </c>
      <c r="L14" s="7">
        <f t="shared" si="19"/>
        <v>4906.8010916782614</v>
      </c>
      <c r="M14" s="7">
        <f t="shared" si="19"/>
        <v>4433.7270657740419</v>
      </c>
      <c r="N14" s="7">
        <f t="shared" si="19"/>
        <v>4006.263006486317</v>
      </c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</v>
      </c>
      <c r="D15" s="3">
        <f>Historicals!D18</f>
        <v>1692</v>
      </c>
      <c r="E15" s="3">
        <f>Historicals!E18</f>
        <v>1659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v>1569.8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198</v>
      </c>
    </row>
    <row r="16" spans="1:15" x14ac:dyDescent="0.3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2.46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v>3.23</v>
      </c>
      <c r="K16" s="58">
        <f>Historicals!K15</f>
        <v>0</v>
      </c>
      <c r="L16" s="58">
        <f>Historicals!L15</f>
        <v>0</v>
      </c>
      <c r="M16" s="58">
        <f>Historicals!M15</f>
        <v>0</v>
      </c>
      <c r="N16" s="58">
        <f>Historicals!N15</f>
        <v>0</v>
      </c>
    </row>
    <row r="17" spans="1:15" x14ac:dyDescent="0.3">
      <c r="A17" t="s">
        <v>155</v>
      </c>
      <c r="B17" s="64">
        <f>B16/B15</f>
        <v>1.0459068294889191E-3</v>
      </c>
      <c r="C17" s="64">
        <f t="shared" ref="C17:I17" si="20">C16/C15</f>
        <v>1.2399540757749713E-3</v>
      </c>
      <c r="D17" s="64">
        <f t="shared" si="20"/>
        <v>1.4834515366430258E-3</v>
      </c>
      <c r="E17" s="64">
        <f t="shared" si="20"/>
        <v>7.0524412296564195E-4</v>
      </c>
      <c r="F17" s="64">
        <f t="shared" si="20"/>
        <v>1.5200197726149283E-3</v>
      </c>
      <c r="G17" s="64">
        <f t="shared" si="20"/>
        <v>1.005277707966826E-3</v>
      </c>
      <c r="H17" s="64">
        <f t="shared" si="20"/>
        <v>2.212004473716913E-3</v>
      </c>
      <c r="I17" s="64">
        <f t="shared" si="20"/>
        <v>2.3280357586292527E-3</v>
      </c>
      <c r="J17" s="64">
        <f t="shared" ref="J17" si="21">J16/J15</f>
        <v>2.0575869537520705E-3</v>
      </c>
      <c r="K17" s="64" t="e">
        <f t="shared" ref="K17" si="22">K16/K15</f>
        <v>#DIV/0!</v>
      </c>
      <c r="L17" s="64" t="e">
        <f t="shared" ref="L17" si="23">L16/L15</f>
        <v>#DIV/0!</v>
      </c>
      <c r="M17" s="64" t="e">
        <f t="shared" ref="M17" si="24">M16/M15</f>
        <v>#DIV/0!</v>
      </c>
      <c r="N17" s="64" t="e">
        <f t="shared" ref="N17" si="25">N16/N15</f>
        <v>#DIV/0!</v>
      </c>
    </row>
    <row r="18" spans="1:15" x14ac:dyDescent="0.3">
      <c r="A18" s="51" t="s">
        <v>129</v>
      </c>
      <c r="B18" s="57" t="s">
        <v>203</v>
      </c>
      <c r="C18" s="57">
        <f>(C16/B16)</f>
        <v>1.1675675675675676</v>
      </c>
      <c r="D18" s="57">
        <f t="shared" ref="D18:N18" si="26">(D16/C16)</f>
        <v>1.1620370370370368</v>
      </c>
      <c r="E18" s="57">
        <f t="shared" si="26"/>
        <v>0.46613545816733071</v>
      </c>
      <c r="F18" s="57">
        <f t="shared" si="26"/>
        <v>2.1025641025641026</v>
      </c>
      <c r="G18" s="57">
        <f t="shared" si="26"/>
        <v>0.65040650406504075</v>
      </c>
      <c r="H18" s="57">
        <f t="shared" si="26"/>
        <v>2.2250000000000001</v>
      </c>
      <c r="I18" s="57">
        <f t="shared" si="26"/>
        <v>1.053370786516854</v>
      </c>
      <c r="J18" s="57">
        <f t="shared" si="26"/>
        <v>0.86133333333333328</v>
      </c>
      <c r="K18" s="57">
        <f t="shared" ref="K18" si="27">(K16/J16)</f>
        <v>0</v>
      </c>
      <c r="L18" s="57" t="e">
        <f t="shared" ref="L18" si="28">(L16/K16)</f>
        <v>#DIV/0!</v>
      </c>
      <c r="M18" s="57" t="e">
        <f t="shared" ref="M18" si="29">(M16/L16)</f>
        <v>#DIV/0!</v>
      </c>
      <c r="N18" s="57" t="e">
        <f t="shared" ref="N18" si="30">(N16/M16)</f>
        <v>#DIV/0!</v>
      </c>
      <c r="O18" t="s">
        <v>199</v>
      </c>
    </row>
    <row r="19" spans="1:15" x14ac:dyDescent="0.3">
      <c r="A19" s="51" t="s">
        <v>156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t="s">
        <v>199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7441</v>
      </c>
      <c r="K21" s="3">
        <f>J21*(1+K$4)</f>
        <v>1811.5095843059662</v>
      </c>
      <c r="L21" s="3">
        <f t="shared" ref="L21:N21" si="31">K21*(1+L$4)</f>
        <v>1763.8074132044487</v>
      </c>
      <c r="M21" s="3">
        <f t="shared" si="31"/>
        <v>1718.4398636628409</v>
      </c>
      <c r="N21" s="3">
        <f t="shared" si="31"/>
        <v>1675.2926755185104</v>
      </c>
    </row>
    <row r="22" spans="1:15" x14ac:dyDescent="0.3">
      <c r="A22" t="s">
        <v>159</v>
      </c>
      <c r="B22" s="3">
        <f>Historicals!B59-Historicals!B25</f>
        <v>17745</v>
      </c>
      <c r="C22" s="3">
        <f>Historicals!C59-Historicals!C25</f>
        <v>18241</v>
      </c>
      <c r="D22" s="3">
        <f>Historicals!D59-Historicals!D25</f>
        <v>19451</v>
      </c>
      <c r="E22" s="3">
        <f>Historicals!E59-Historicals!E25</f>
        <v>18287</v>
      </c>
      <c r="F22" s="3">
        <f>Historicals!F59-Historicals!F25</f>
        <v>19251</v>
      </c>
      <c r="G22" s="3">
        <f>Historicals!G59-Historicals!G25</f>
        <v>22994</v>
      </c>
      <c r="H22" s="3">
        <f>Historicals!H59-Historicals!H25</f>
        <v>27851</v>
      </c>
      <c r="I22" s="3">
        <f>Historicals!I59-Historicals!I25</f>
        <v>31747</v>
      </c>
      <c r="J22" s="3">
        <f>Historicals!J59-Historicals!J25</f>
        <v>0</v>
      </c>
      <c r="K22" s="3">
        <f t="shared" ref="K22:N30" si="32">J22*(1+K$4)</f>
        <v>0</v>
      </c>
      <c r="L22" s="3"/>
      <c r="M22" s="3"/>
      <c r="N22" s="3"/>
    </row>
    <row r="23" spans="1:15" x14ac:dyDescent="0.3">
      <c r="A23" t="s">
        <v>160</v>
      </c>
      <c r="B23" s="3">
        <f>SUM(Historicals!B26:B29)-SUM(Historicals!B40:B44)</f>
        <v>5510</v>
      </c>
      <c r="C23" s="3">
        <f>SUM(Historicals!C26:C29)-SUM(Historicals!C40:C44)</f>
        <v>6573</v>
      </c>
      <c r="D23" s="3">
        <f>SUM(Historicals!D26:D29)-SUM(Historicals!D40:D44)</f>
        <v>6785</v>
      </c>
      <c r="E23" s="3">
        <f>SUM(Historicals!E26:E29)-SUM(Historicals!E40:E44)</f>
        <v>4851</v>
      </c>
      <c r="F23" s="3">
        <f>SUM(Historicals!F26:F29)-SUM(Historicals!F40:F44)</f>
        <v>4199</v>
      </c>
      <c r="G23" s="3">
        <f>SUM(Historicals!G26:G29)-SUM(Historicals!G40:G44)</f>
        <v>3927</v>
      </c>
      <c r="H23" s="3">
        <f>SUM(Historicals!H26:H29)-SUM(Historicals!H40:H44)</f>
        <v>6728</v>
      </c>
      <c r="I23" s="3">
        <f>SUM(Historicals!I26:I29)-SUM(Historicals!I40:I44)</f>
        <v>9409</v>
      </c>
      <c r="J23" s="3">
        <f ca="1">I23*(1+J24)</f>
        <v>0</v>
      </c>
      <c r="K23" s="3">
        <f t="shared" ca="1" si="32"/>
        <v>1811.5095843059662</v>
      </c>
      <c r="L23" s="3">
        <f t="shared" ref="L23:N23" ca="1" si="33">K23*(1+L24)</f>
        <v>0</v>
      </c>
      <c r="M23" s="3">
        <f t="shared" ca="1" si="33"/>
        <v>0</v>
      </c>
      <c r="N23" s="3">
        <f t="shared" ca="1" si="33"/>
        <v>0</v>
      </c>
    </row>
    <row r="24" spans="1:15" x14ac:dyDescent="0.3">
      <c r="A24" s="51" t="s">
        <v>161</v>
      </c>
      <c r="B24" s="57">
        <f>B23/B3</f>
        <v>0.18005947518054966</v>
      </c>
      <c r="C24" s="57">
        <f t="shared" ref="C24:N24" si="34">C23/C3</f>
        <v>0.20302075611564122</v>
      </c>
      <c r="D24" s="57">
        <f t="shared" si="34"/>
        <v>0.19752547307132459</v>
      </c>
      <c r="E24" s="57">
        <f t="shared" si="34"/>
        <v>0.13328021540236834</v>
      </c>
      <c r="F24" s="57">
        <f t="shared" si="34"/>
        <v>0.10734463276836158</v>
      </c>
      <c r="G24" s="57">
        <f t="shared" si="34"/>
        <v>0.10499157821565115</v>
      </c>
      <c r="H24" s="57">
        <f t="shared" si="34"/>
        <v>0.15106201445956263</v>
      </c>
      <c r="I24" s="57">
        <f t="shared" si="34"/>
        <v>0.20143438235923786</v>
      </c>
      <c r="J24" s="57">
        <f t="shared" ca="1" si="34"/>
        <v>0.18371246723514378</v>
      </c>
      <c r="K24" s="3">
        <f t="shared" ca="1" si="32"/>
        <v>1811.5095843059662</v>
      </c>
      <c r="L24" s="57">
        <f t="shared" ca="1" si="34"/>
        <v>0</v>
      </c>
      <c r="M24" s="57">
        <f t="shared" ca="1" si="34"/>
        <v>0</v>
      </c>
      <c r="N24" s="57">
        <f t="shared" ca="1" si="34"/>
        <v>0</v>
      </c>
    </row>
    <row r="25" spans="1:15" x14ac:dyDescent="0.3">
      <c r="A25" t="s">
        <v>162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3234+4131+8454+1942</f>
        <v>17761</v>
      </c>
      <c r="K25" s="3">
        <f t="shared" si="32"/>
        <v>4323.9109967555796</v>
      </c>
      <c r="L25" s="3">
        <f t="shared" si="32"/>
        <v>4210.0501902868182</v>
      </c>
      <c r="M25" s="3">
        <f t="shared" si="32"/>
        <v>4101.7619162096116</v>
      </c>
      <c r="N25" s="3">
        <f t="shared" si="32"/>
        <v>3998.773445757864</v>
      </c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v>5081</v>
      </c>
      <c r="K26" s="3">
        <f t="shared" si="32"/>
        <v>1236.968176032605</v>
      </c>
      <c r="L26" s="3">
        <f t="shared" si="32"/>
        <v>1204.3953052670076</v>
      </c>
      <c r="M26" s="3">
        <f t="shared" si="32"/>
        <v>1173.4166035843159</v>
      </c>
      <c r="N26" s="3">
        <f t="shared" si="32"/>
        <v>1143.9540497661001</v>
      </c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v>274</v>
      </c>
      <c r="K27" s="3">
        <f t="shared" si="32"/>
        <v>66.705231299534304</v>
      </c>
      <c r="L27" s="3">
        <f t="shared" ref="L27:N27" si="35">K27*(1+L$4)</f>
        <v>64.948693887652055</v>
      </c>
      <c r="M27" s="3">
        <f t="shared" si="35"/>
        <v>63.278124263354179</v>
      </c>
      <c r="N27" s="3">
        <f t="shared" si="35"/>
        <v>61.689315023796787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v>281</v>
      </c>
      <c r="K28" s="3">
        <f>J28*(1+K$4)</f>
        <v>68.409379544412914</v>
      </c>
      <c r="L28" s="3">
        <f t="shared" ref="L28:N28" si="36">K28*(1+L$4)</f>
        <v>66.60796708916142</v>
      </c>
      <c r="M28" s="3">
        <f t="shared" si="36"/>
        <v>64.894718678841329</v>
      </c>
      <c r="N28" s="3">
        <f t="shared" si="36"/>
        <v>63.265319422214951</v>
      </c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v>2923</v>
      </c>
      <c r="K29" s="3">
        <f t="shared" si="32"/>
        <v>711.60361711145538</v>
      </c>
      <c r="L29" s="3">
        <f t="shared" ref="L29:N29" si="37">K29*(1+L$4)</f>
        <v>692.86508114455103</v>
      </c>
      <c r="M29" s="3">
        <f t="shared" si="37"/>
        <v>675.04363949556307</v>
      </c>
      <c r="N29" s="3">
        <f t="shared" si="37"/>
        <v>658.09440808232853</v>
      </c>
    </row>
    <row r="30" spans="1:15" x14ac:dyDescent="0.3">
      <c r="A30" t="s">
        <v>165</v>
      </c>
      <c r="B30" s="3">
        <f>+B25</f>
        <v>11735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v>3770</v>
      </c>
      <c r="K30" s="3">
        <f t="shared" si="32"/>
        <v>917.80555474176765</v>
      </c>
      <c r="L30" s="3">
        <f t="shared" ref="L30:N30" si="38">K30*(1+L$4)</f>
        <v>893.63713852718354</v>
      </c>
      <c r="M30" s="3">
        <f t="shared" si="38"/>
        <v>870.65156376950836</v>
      </c>
      <c r="N30" s="3">
        <f t="shared" si="38"/>
        <v>848.79094029092664</v>
      </c>
    </row>
    <row r="31" spans="1:15" ht="15" thickBot="1" x14ac:dyDescent="0.35">
      <c r="A31" s="6" t="s">
        <v>166</v>
      </c>
      <c r="B31" s="7">
        <f>SUM(B26:B30)</f>
        <v>15158</v>
      </c>
      <c r="C31" s="7">
        <f t="shared" ref="C31:I31" si="39">SUM(C26:C30)</f>
        <v>6354</v>
      </c>
      <c r="D31" s="7">
        <f t="shared" si="39"/>
        <v>7198</v>
      </c>
      <c r="E31" s="7">
        <f t="shared" si="39"/>
        <v>7402</v>
      </c>
      <c r="F31" s="7">
        <f t="shared" si="39"/>
        <v>7192</v>
      </c>
      <c r="G31" s="7">
        <f t="shared" si="39"/>
        <v>10786</v>
      </c>
      <c r="H31" s="7">
        <f t="shared" si="39"/>
        <v>11449</v>
      </c>
      <c r="I31" s="7">
        <f t="shared" si="39"/>
        <v>12108</v>
      </c>
      <c r="J31" s="7">
        <f>SUM(J25:J30)+J21</f>
        <v>37531</v>
      </c>
      <c r="K31" s="7">
        <f t="shared" ref="K31:N31" si="40">SUM(K25:K30)+K21</f>
        <v>9136.9125397913231</v>
      </c>
      <c r="L31" s="7">
        <f t="shared" si="40"/>
        <v>8896.3117894068218</v>
      </c>
      <c r="M31" s="7">
        <f t="shared" si="40"/>
        <v>8667.4864296640353</v>
      </c>
      <c r="N31" s="7">
        <f t="shared" si="40"/>
        <v>8449.8601538617404</v>
      </c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 t="s">
        <v>203</v>
      </c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6</v>
      </c>
      <c r="K34" s="3">
        <f>J34*(1+K$4)</f>
        <v>1.4606984956102402</v>
      </c>
      <c r="L34" s="3">
        <f t="shared" ref="L34:N34" si="41">K34*(1+L$4)</f>
        <v>1.4222341727223078</v>
      </c>
      <c r="M34" s="3">
        <f t="shared" si="41"/>
        <v>1.3856523561318432</v>
      </c>
      <c r="N34" s="3">
        <f t="shared" si="41"/>
        <v>1.3508609129298565</v>
      </c>
    </row>
    <row r="35" spans="1:14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2862+425+5723+240</f>
        <v>9250</v>
      </c>
      <c r="K35" s="3">
        <f t="shared" ref="K35:N39" si="42">J35*(1+K$4)</f>
        <v>2251.9101807324537</v>
      </c>
      <c r="L35" s="3">
        <f t="shared" si="42"/>
        <v>2192.6110162802247</v>
      </c>
      <c r="M35" s="3">
        <f t="shared" si="42"/>
        <v>2136.2140490365919</v>
      </c>
      <c r="N35" s="3">
        <f t="shared" si="42"/>
        <v>2082.5772407668624</v>
      </c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v>8927</v>
      </c>
      <c r="K36" s="3">
        <f t="shared" si="42"/>
        <v>2173.2759117187693</v>
      </c>
      <c r="L36" s="3">
        <f t="shared" si="42"/>
        <v>2116.0474099820071</v>
      </c>
      <c r="M36" s="3">
        <f t="shared" si="42"/>
        <v>2061.6197638648277</v>
      </c>
      <c r="N36" s="3">
        <f t="shared" si="42"/>
        <v>2009.8558949541384</v>
      </c>
    </row>
    <row r="37" spans="1:14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v>2786</v>
      </c>
      <c r="K37" s="3">
        <f t="shared" si="42"/>
        <v>678.25100146168825</v>
      </c>
      <c r="L37" s="3">
        <f t="shared" si="42"/>
        <v>660.39073420072498</v>
      </c>
      <c r="M37" s="3">
        <f t="shared" si="42"/>
        <v>643.40457736388601</v>
      </c>
      <c r="N37" s="3">
        <f t="shared" si="42"/>
        <v>627.24975057043014</v>
      </c>
    </row>
    <row r="38" spans="1:14" x14ac:dyDescent="0.3">
      <c r="A38" t="s">
        <v>169</v>
      </c>
      <c r="B38" s="3">
        <f>SUM(Historicals!B48:B57)</f>
        <v>14186</v>
      </c>
      <c r="C38" s="3">
        <f>SUM(Historicals!C48:C57)</f>
        <v>14028</v>
      </c>
      <c r="D38" s="3">
        <f>SUM(Historicals!D48:D57)</f>
        <v>14314</v>
      </c>
      <c r="E38" s="3">
        <f>SUM(Historicals!E48:E57)</f>
        <v>13028</v>
      </c>
      <c r="F38" s="3">
        <f>SUM(Historicals!F48:F57)</f>
        <v>12387</v>
      </c>
      <c r="G38" s="3">
        <f>SUM(Historicals!G48:G57)</f>
        <v>10739</v>
      </c>
      <c r="H38" s="3">
        <f>SUM(Historicals!H48:H57)</f>
        <v>15722</v>
      </c>
      <c r="I38" s="3">
        <f>SUM(Historicals!I48:I57)</f>
        <v>17894</v>
      </c>
      <c r="J38" s="3">
        <f>2558+3+12412+1358+231</f>
        <v>16562</v>
      </c>
      <c r="K38" s="3">
        <f t="shared" si="42"/>
        <v>4032.0147473827997</v>
      </c>
      <c r="L38" s="3">
        <f t="shared" ref="L38:N38" si="43">K38*(1+L$4)</f>
        <v>3925.8403947711436</v>
      </c>
      <c r="M38" s="3">
        <f t="shared" si="43"/>
        <v>3824.8623870425981</v>
      </c>
      <c r="N38" s="3">
        <f t="shared" si="43"/>
        <v>3728.8264066573806</v>
      </c>
    </row>
    <row r="39" spans="1:14" x14ac:dyDescent="0.3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>
        <v>14004</v>
      </c>
      <c r="K39" s="3">
        <f t="shared" si="42"/>
        <v>3409.2702887543005</v>
      </c>
      <c r="L39" s="3">
        <f t="shared" ref="L39:N39" si="44">K39*(1+L$4)</f>
        <v>3319.4945591338665</v>
      </c>
      <c r="M39" s="3">
        <f t="shared" si="44"/>
        <v>3234.1125992117222</v>
      </c>
      <c r="N39" s="3">
        <f t="shared" si="44"/>
        <v>3152.9093707782849</v>
      </c>
    </row>
    <row r="40" spans="1:14" x14ac:dyDescent="0.3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thickBot="1" x14ac:dyDescent="0.35">
      <c r="A43" s="6" t="s">
        <v>174</v>
      </c>
      <c r="B43" s="7">
        <f>SUM(B33:B42)</f>
        <v>34304</v>
      </c>
      <c r="C43" s="7">
        <f t="shared" ref="C43:N43" si="45">SUM(C33:C42)</f>
        <v>33637</v>
      </c>
      <c r="D43" s="7">
        <f t="shared" si="45"/>
        <v>35666</v>
      </c>
      <c r="E43" s="7">
        <f t="shared" si="45"/>
        <v>32348</v>
      </c>
      <c r="F43" s="7">
        <f t="shared" si="45"/>
        <v>32757</v>
      </c>
      <c r="G43" s="7">
        <f t="shared" si="45"/>
        <v>39397</v>
      </c>
      <c r="H43" s="7">
        <f t="shared" si="45"/>
        <v>50507</v>
      </c>
      <c r="I43" s="7">
        <f t="shared" si="45"/>
        <v>55602</v>
      </c>
      <c r="J43" s="7">
        <f t="shared" si="45"/>
        <v>51535</v>
      </c>
      <c r="K43" s="7">
        <f t="shared" si="45"/>
        <v>12546.182828545621</v>
      </c>
      <c r="L43" s="7">
        <f t="shared" si="45"/>
        <v>12215.806348540689</v>
      </c>
      <c r="M43" s="7">
        <f t="shared" si="45"/>
        <v>11901.599028875757</v>
      </c>
      <c r="N43" s="7">
        <f t="shared" si="45"/>
        <v>11602.769524640027</v>
      </c>
    </row>
    <row r="44" spans="1:14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'Segmental forecast'!B35</f>
        <v>3766</v>
      </c>
      <c r="C46" s="9">
        <f>'Segmental forecast'!C35</f>
        <v>3896</v>
      </c>
      <c r="D46" s="9">
        <f>'Segmental forecast'!D35</f>
        <v>4015</v>
      </c>
      <c r="E46" s="9">
        <f>'Segmental forecast'!E35</f>
        <v>3760</v>
      </c>
      <c r="F46" s="9">
        <f>'Segmental forecast'!F35</f>
        <v>4074</v>
      </c>
      <c r="G46" s="9">
        <f>'Segmental forecast'!G35</f>
        <v>3047</v>
      </c>
      <c r="H46" s="9">
        <f>'Segmental forecast'!H35</f>
        <v>5219</v>
      </c>
      <c r="I46" s="9">
        <f>'Segmental forecast'!I35</f>
        <v>5238</v>
      </c>
      <c r="J46" s="9">
        <v>6195</v>
      </c>
      <c r="K46" s="9">
        <f>J46*(1+K$4)</f>
        <v>1508.1711967175731</v>
      </c>
      <c r="L46" s="9">
        <f t="shared" ref="L46:N46" si="46">K46*(1+L$4)</f>
        <v>1468.456783335783</v>
      </c>
      <c r="M46" s="9">
        <f t="shared" si="46"/>
        <v>1430.6860577061284</v>
      </c>
      <c r="N46" s="9">
        <f t="shared" si="46"/>
        <v>1394.763892600077</v>
      </c>
    </row>
    <row r="47" spans="1:14" x14ac:dyDescent="0.3">
      <c r="A47" t="s">
        <v>132</v>
      </c>
      <c r="B47" s="59">
        <f>'Segmental forecast'!B38</f>
        <v>121</v>
      </c>
      <c r="C47" s="59">
        <f>'Segmental forecast'!C38</f>
        <v>133</v>
      </c>
      <c r="D47" s="59">
        <f>'Segmental forecast'!D38</f>
        <v>140</v>
      </c>
      <c r="E47" s="59">
        <f>'Segmental forecast'!E38</f>
        <v>160</v>
      </c>
      <c r="F47" s="59">
        <f>'Segmental forecast'!F38</f>
        <v>149</v>
      </c>
      <c r="G47" s="59">
        <f>'Segmental forecast'!G38</f>
        <v>148</v>
      </c>
      <c r="H47" s="59">
        <f>'Segmental forecast'!H38</f>
        <v>130</v>
      </c>
      <c r="I47" s="59">
        <f>'Segmental forecast'!I38</f>
        <v>124</v>
      </c>
      <c r="J47" s="59">
        <f>J6</f>
        <v>859</v>
      </c>
      <c r="K47" s="9">
        <f t="shared" ref="K47:N54" si="47">J47*(1+K$4)</f>
        <v>209.12333462153273</v>
      </c>
      <c r="L47" s="9">
        <f t="shared" si="47"/>
        <v>203.61652572807708</v>
      </c>
      <c r="M47" s="9">
        <f t="shared" si="47"/>
        <v>198.37922898620891</v>
      </c>
      <c r="N47" s="9">
        <f t="shared" si="47"/>
        <v>193.39825403445781</v>
      </c>
    </row>
    <row r="48" spans="1:14" x14ac:dyDescent="0.3">
      <c r="A48" t="s">
        <v>177</v>
      </c>
      <c r="B48" s="59">
        <f>B47+B46-B12</f>
        <v>2625</v>
      </c>
      <c r="C48" s="59">
        <f t="shared" ref="C48:J48" si="48">C47+C46-C12</f>
        <v>3281</v>
      </c>
      <c r="D48" s="59">
        <f t="shared" si="48"/>
        <v>3452</v>
      </c>
      <c r="E48" s="59">
        <f t="shared" si="48"/>
        <v>3391</v>
      </c>
      <c r="F48" s="59">
        <f t="shared" si="48"/>
        <v>3466</v>
      </c>
      <c r="G48" s="59">
        <f t="shared" si="48"/>
        <v>2167</v>
      </c>
      <c r="H48" s="59">
        <f t="shared" si="48"/>
        <v>4172</v>
      </c>
      <c r="I48" s="59">
        <f t="shared" si="48"/>
        <v>4131</v>
      </c>
      <c r="J48" s="59">
        <f t="shared" si="48"/>
        <v>5537</v>
      </c>
      <c r="K48" s="9">
        <f t="shared" si="47"/>
        <v>1347.9812616989834</v>
      </c>
      <c r="L48" s="9">
        <f t="shared" si="47"/>
        <v>1312.4851023939032</v>
      </c>
      <c r="M48" s="9">
        <f t="shared" si="47"/>
        <v>1278.7261826503361</v>
      </c>
      <c r="N48" s="9">
        <f t="shared" si="47"/>
        <v>1246.6194791487694</v>
      </c>
    </row>
    <row r="49" spans="1:14" x14ac:dyDescent="0.3">
      <c r="A49" s="1" t="s">
        <v>178</v>
      </c>
      <c r="B49" s="9">
        <f>B46-B48-B47</f>
        <v>1020</v>
      </c>
      <c r="C49" s="9">
        <f t="shared" ref="C49:J49" si="49">C46-C48-C47</f>
        <v>482</v>
      </c>
      <c r="D49" s="9">
        <f t="shared" si="49"/>
        <v>423</v>
      </c>
      <c r="E49" s="9">
        <f t="shared" si="49"/>
        <v>209</v>
      </c>
      <c r="F49" s="9">
        <f t="shared" si="49"/>
        <v>459</v>
      </c>
      <c r="G49" s="9">
        <f t="shared" si="49"/>
        <v>732</v>
      </c>
      <c r="H49" s="9">
        <f t="shared" si="49"/>
        <v>917</v>
      </c>
      <c r="I49" s="9">
        <f t="shared" si="49"/>
        <v>983</v>
      </c>
      <c r="J49" s="9">
        <f t="shared" si="49"/>
        <v>-201</v>
      </c>
      <c r="K49" s="9">
        <f t="shared" si="47"/>
        <v>-48.933399602943048</v>
      </c>
      <c r="L49" s="9">
        <f t="shared" si="47"/>
        <v>-47.644844786197318</v>
      </c>
      <c r="M49" s="9">
        <f t="shared" si="47"/>
        <v>-46.419353930416754</v>
      </c>
      <c r="N49" s="9">
        <f t="shared" si="47"/>
        <v>-45.2538405831502</v>
      </c>
    </row>
    <row r="50" spans="1:14" x14ac:dyDescent="0.3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v>347</v>
      </c>
      <c r="K50" s="9">
        <f t="shared" si="47"/>
        <v>84.477062996125554</v>
      </c>
      <c r="L50" s="9">
        <f t="shared" si="47"/>
        <v>82.2525429891068</v>
      </c>
      <c r="M50" s="9">
        <f t="shared" si="47"/>
        <v>80.136894596291611</v>
      </c>
      <c r="N50" s="9">
        <f t="shared" si="47"/>
        <v>78.124789464443381</v>
      </c>
    </row>
    <row r="51" spans="1:14" x14ac:dyDescent="0.3">
      <c r="A51" t="s">
        <v>180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9">
        <f t="shared" si="47"/>
        <v>0</v>
      </c>
      <c r="L51" s="9">
        <f t="shared" si="47"/>
        <v>0</v>
      </c>
      <c r="M51" s="9">
        <f t="shared" si="47"/>
        <v>0</v>
      </c>
      <c r="N51" s="9">
        <f t="shared" si="47"/>
        <v>0</v>
      </c>
    </row>
    <row r="52" spans="1:14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-1092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>
        <v>-969</v>
      </c>
      <c r="K52" s="9">
        <f t="shared" si="47"/>
        <v>-235.90280704105379</v>
      </c>
      <c r="L52" s="9">
        <f t="shared" si="47"/>
        <v>-229.69081889465272</v>
      </c>
      <c r="M52" s="9">
        <f t="shared" si="47"/>
        <v>-223.78285551529271</v>
      </c>
      <c r="N52" s="9">
        <f t="shared" si="47"/>
        <v>-218.16403743817185</v>
      </c>
    </row>
    <row r="53" spans="1:14" x14ac:dyDescent="0.3">
      <c r="A53" s="1" t="s">
        <v>181</v>
      </c>
      <c r="B53" s="9">
        <f>Historicals!B76-'Three Statements'!B52</f>
        <v>5643</v>
      </c>
      <c r="C53" s="9">
        <f>Historicals!C76-'Three Statements'!C52</f>
        <v>4239</v>
      </c>
      <c r="D53" s="9">
        <f>Historicals!D76-'Three Statements'!D52</f>
        <v>4938</v>
      </c>
      <c r="E53" s="9">
        <f>Historicals!E76-'Three Statements'!E52</f>
        <v>5983</v>
      </c>
      <c r="F53" s="9">
        <f>Historicals!F76-'Three Statements'!F52</f>
        <v>7022</v>
      </c>
      <c r="G53" s="9">
        <f>Historicals!G76-'Three Statements'!G52</f>
        <v>3571</v>
      </c>
      <c r="H53" s="9">
        <f>Historicals!H76-'Three Statements'!H52</f>
        <v>7352</v>
      </c>
      <c r="I53" s="9">
        <f>Historicals!I76-'Three Statements'!I52</f>
        <v>5946</v>
      </c>
      <c r="J53" s="9"/>
      <c r="K53" s="9">
        <f t="shared" si="47"/>
        <v>0</v>
      </c>
      <c r="L53" s="9">
        <f t="shared" si="47"/>
        <v>0</v>
      </c>
      <c r="M53" s="9">
        <f t="shared" si="47"/>
        <v>0</v>
      </c>
      <c r="N53" s="9">
        <f t="shared" si="47"/>
        <v>0</v>
      </c>
    </row>
    <row r="54" spans="1:14" x14ac:dyDescent="0.3">
      <c r="A54" t="s">
        <v>182</v>
      </c>
      <c r="B54" s="3">
        <f>Historicals!B74</f>
        <v>-144</v>
      </c>
      <c r="C54" s="3">
        <f>Historicals!C74</f>
        <v>-161</v>
      </c>
      <c r="D54" s="3">
        <f>Historicals!D74</f>
        <v>-120</v>
      </c>
      <c r="E54" s="3">
        <f>Historicals!E74</f>
        <v>35</v>
      </c>
      <c r="F54" s="3">
        <f>Historicals!F74</f>
        <v>-203</v>
      </c>
      <c r="G54" s="3">
        <f>Historicals!G74</f>
        <v>-654</v>
      </c>
      <c r="H54" s="3">
        <f>Historicals!H74</f>
        <v>-182</v>
      </c>
      <c r="I54" s="3">
        <f>Historicals!I74</f>
        <v>-845</v>
      </c>
      <c r="J54" s="3">
        <v>-644</v>
      </c>
      <c r="K54" s="9">
        <f t="shared" si="47"/>
        <v>-156.78163852883245</v>
      </c>
      <c r="L54" s="9">
        <f t="shared" si="47"/>
        <v>-152.65313453886105</v>
      </c>
      <c r="M54" s="9">
        <f t="shared" si="47"/>
        <v>-148.72668622481785</v>
      </c>
      <c r="N54" s="9">
        <f t="shared" si="47"/>
        <v>-144.99240465447127</v>
      </c>
    </row>
    <row r="55" spans="1:14" x14ac:dyDescent="0.3">
      <c r="A55" s="27" t="s">
        <v>183</v>
      </c>
      <c r="B55" s="26">
        <f>Historicals!B76+Historicals!B66-'Three Statements'!B48+'Three Statements'!B51</f>
        <v>2917</v>
      </c>
      <c r="C55" s="26">
        <f>Historicals!C76+Historicals!C66-'Three Statements'!C48+'Three Statements'!C51</f>
        <v>-1116</v>
      </c>
      <c r="D55" s="26">
        <f>Historicals!D76+Historicals!D66-'Three Statements'!D48+'Three Statements'!D51</f>
        <v>165</v>
      </c>
      <c r="E55" s="26">
        <f>Historicals!E76+Historicals!E66-'Three Statements'!E48+'Three Statements'!E51</f>
        <v>3793</v>
      </c>
      <c r="F55" s="26">
        <f>Historicals!F76+Historicals!F66-'Three Statements'!F48+'Three Statements'!F51</f>
        <v>3704</v>
      </c>
      <c r="G55" s="26">
        <f>Historicals!G76+Historicals!G66-'Three Statements'!G48+'Three Statements'!G51</f>
        <v>-206</v>
      </c>
      <c r="H55" s="26">
        <f>Historicals!H76+Historicals!H66-'Three Statements'!H48+'Three Statements'!H51</f>
        <v>3274</v>
      </c>
      <c r="I55" s="26">
        <f>Historicals!I76+Historicals!I66-'Three Statements'!I48+'Three Statements'!I51</f>
        <v>114</v>
      </c>
      <c r="J55" s="26">
        <f>Historicals!J76+Historicals!J66-'Three Statements'!J48+'Three Statements'!J51</f>
        <v>-5537</v>
      </c>
      <c r="K55" s="26">
        <f>Historicals!K76+Historicals!K66-'Three Statements'!K48+'Three Statements'!K51</f>
        <v>-1347.9812616989834</v>
      </c>
      <c r="L55" s="26">
        <f>Historicals!L76+Historicals!L66-'Three Statements'!L48+'Three Statements'!L51</f>
        <v>-1312.4851023939032</v>
      </c>
      <c r="M55" s="26">
        <f>Historicals!M76+Historicals!M66-'Three Statements'!M48+'Three Statements'!M51</f>
        <v>-1278.7261826503361</v>
      </c>
      <c r="N55" s="26">
        <f>Historicals!N76+Historicals!N66-'Three Statements'!N48+'Three Statements'!N51</f>
        <v>-1246.6194791487694</v>
      </c>
    </row>
    <row r="56" spans="1:14" x14ac:dyDescent="0.3">
      <c r="A56" t="s">
        <v>184</v>
      </c>
      <c r="B56" s="3">
        <f>Historicals!B81</f>
        <v>-963</v>
      </c>
      <c r="C56" s="3">
        <f>Historicals!C81</f>
        <v>-1143</v>
      </c>
      <c r="D56" s="3">
        <f>Historicals!D81</f>
        <v>-1092</v>
      </c>
      <c r="E56" s="3">
        <f>Historicals!E81</f>
        <v>-1028</v>
      </c>
      <c r="F56" s="3">
        <f>Historicals!F81</f>
        <v>-1119</v>
      </c>
      <c r="G56" s="3">
        <f>Historicals!G81</f>
        <v>-1086</v>
      </c>
      <c r="H56" s="3">
        <f>Historicals!H81</f>
        <v>-695</v>
      </c>
      <c r="I56" s="3">
        <f>Historicals!I81</f>
        <v>-758</v>
      </c>
      <c r="J56" s="3">
        <f>J52</f>
        <v>-969</v>
      </c>
      <c r="K56" s="3">
        <f>J56*(1+K$4)</f>
        <v>-235.90280704105379</v>
      </c>
      <c r="L56" s="3">
        <f t="shared" ref="L56:N56" si="50">K56*(1+L$4)</f>
        <v>-229.69081889465272</v>
      </c>
      <c r="M56" s="3">
        <f t="shared" si="50"/>
        <v>-223.78285551529271</v>
      </c>
      <c r="N56" s="3">
        <f t="shared" si="50"/>
        <v>-218.16403743817185</v>
      </c>
    </row>
    <row r="57" spans="1:14" x14ac:dyDescent="0.3">
      <c r="A57" t="s">
        <v>185</v>
      </c>
      <c r="B57" s="3">
        <f>Historicals!B82+SUM(Historicals!B78:B80)</f>
        <v>788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v>52</v>
      </c>
      <c r="K57" s="3">
        <f>J57*(1+K$4)</f>
        <v>12.659386961955416</v>
      </c>
      <c r="L57" s="3">
        <f t="shared" ref="L57:N57" si="51">K57*(1+L$4)</f>
        <v>12.326029496926669</v>
      </c>
      <c r="M57" s="3">
        <f t="shared" si="51"/>
        <v>12.008987086475976</v>
      </c>
      <c r="N57" s="3">
        <f t="shared" si="51"/>
        <v>11.707461245392091</v>
      </c>
    </row>
    <row r="58" spans="1:14" x14ac:dyDescent="0.3">
      <c r="A58" s="27" t="s">
        <v>186</v>
      </c>
      <c r="B58" s="26">
        <f>B57+B56</f>
        <v>-175</v>
      </c>
      <c r="C58" s="26">
        <f t="shared" ref="C58:N58" si="52">C57+C56</f>
        <v>-1137</v>
      </c>
      <c r="D58" s="26">
        <f t="shared" si="52"/>
        <v>-1126</v>
      </c>
      <c r="E58" s="26">
        <f t="shared" si="52"/>
        <v>-1050</v>
      </c>
      <c r="F58" s="26">
        <f t="shared" si="52"/>
        <v>-1114</v>
      </c>
      <c r="G58" s="26">
        <f t="shared" si="52"/>
        <v>-1055</v>
      </c>
      <c r="H58" s="26">
        <f t="shared" si="52"/>
        <v>-524</v>
      </c>
      <c r="I58" s="26">
        <f t="shared" si="52"/>
        <v>-777</v>
      </c>
      <c r="J58" s="26">
        <f t="shared" si="52"/>
        <v>-917</v>
      </c>
      <c r="K58" s="26">
        <f t="shared" si="52"/>
        <v>-223.24342007909837</v>
      </c>
      <c r="L58" s="26">
        <f t="shared" si="52"/>
        <v>-217.36478939772604</v>
      </c>
      <c r="M58" s="26">
        <f t="shared" si="52"/>
        <v>-211.77386842881674</v>
      </c>
      <c r="N58" s="26">
        <f t="shared" si="52"/>
        <v>-206.45657619277975</v>
      </c>
    </row>
    <row r="59" spans="1:14" x14ac:dyDescent="0.3">
      <c r="A59" t="s">
        <v>187</v>
      </c>
      <c r="B59" s="3">
        <f>Historicals!B89+Historicals!B88</f>
        <v>713</v>
      </c>
      <c r="C59" s="3">
        <f>Historicals!C89+Historicals!C88</f>
        <v>781</v>
      </c>
      <c r="D59" s="3">
        <f>Historicals!D89+Historicals!D88</f>
        <v>472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>
        <f>J38*(1+K$4)</f>
        <v>4032.0147473827997</v>
      </c>
      <c r="K59" s="3">
        <f>J59*(1+K$4)</f>
        <v>981.59297929672641</v>
      </c>
      <c r="L59" s="3">
        <f t="shared" ref="L59:N59" si="53">K59*(1+L$4)</f>
        <v>955.74485977468692</v>
      </c>
      <c r="M59" s="3">
        <f t="shared" si="53"/>
        <v>931.16178911155271</v>
      </c>
      <c r="N59" s="3">
        <f t="shared" si="53"/>
        <v>907.78185376602914</v>
      </c>
    </row>
    <row r="60" spans="1:14" x14ac:dyDescent="0.3">
      <c r="A60" s="51" t="s">
        <v>129</v>
      </c>
      <c r="B60" s="57" t="s">
        <v>203</v>
      </c>
      <c r="C60" s="57">
        <f>(C59/B59)/B59*100</f>
        <v>0.15362856507772898</v>
      </c>
      <c r="D60" s="57">
        <f t="shared" ref="D60:I60" si="54">(D59/C59)/C59*100</f>
        <v>7.7381996553878049E-2</v>
      </c>
      <c r="E60" s="57">
        <f t="shared" si="54"/>
        <v>-1.5804546107440389</v>
      </c>
      <c r="F60" s="57">
        <f t="shared" si="54"/>
        <v>-2.8925324185854161E-2</v>
      </c>
      <c r="G60" s="57">
        <f t="shared" si="54"/>
        <v>-1.6968137539274786E-2</v>
      </c>
      <c r="H60" s="57">
        <f t="shared" si="54"/>
        <v>1.1845942260693064E-2</v>
      </c>
      <c r="I60" s="57">
        <f t="shared" si="54"/>
        <v>-0.90004275438861225</v>
      </c>
      <c r="J60" s="57">
        <f t="shared" ref="J60" si="55">(J59/I59)/I59*100</f>
        <v>4.9190293728941244E-2</v>
      </c>
      <c r="K60" s="57">
        <f t="shared" ref="K60" si="56">(K59/J59)/J59*100</f>
        <v>6.0379181258302141E-3</v>
      </c>
      <c r="L60" s="57">
        <f t="shared" ref="L60" si="57">(L59/K59)/K59*100</f>
        <v>9.9192556598894893E-2</v>
      </c>
      <c r="M60" s="57">
        <f t="shared" ref="M60" si="58">(M59/L59)/L59*100</f>
        <v>0.10193919604949582</v>
      </c>
      <c r="N60" s="57">
        <f t="shared" ref="N60" si="59">(N59/M59)/M59*100</f>
        <v>0.1046962689210677</v>
      </c>
    </row>
    <row r="61" spans="1:14" x14ac:dyDescent="0.3">
      <c r="A61" t="s">
        <v>188</v>
      </c>
      <c r="B61" s="3">
        <f>Historicals!B90</f>
        <v>-2534</v>
      </c>
      <c r="C61" s="3">
        <f>Historicals!C90</f>
        <v>-3238</v>
      </c>
      <c r="D61" s="3">
        <f>Historicals!D90</f>
        <v>-3223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v>-2012</v>
      </c>
      <c r="K61" s="3">
        <f>J61*(1+K$4)</f>
        <v>-489.82089552796725</v>
      </c>
      <c r="L61" s="3">
        <f t="shared" ref="L61:N61" si="60">K61*(1+L$4)</f>
        <v>-476.9225259195473</v>
      </c>
      <c r="M61" s="3">
        <f t="shared" si="60"/>
        <v>-464.65542342287819</v>
      </c>
      <c r="N61" s="3">
        <f t="shared" si="60"/>
        <v>-452.98869280247862</v>
      </c>
    </row>
    <row r="62" spans="1:14" x14ac:dyDescent="0.3">
      <c r="A62" t="s">
        <v>189</v>
      </c>
      <c r="B62" s="3">
        <f>Historicals!B87</f>
        <v>-63</v>
      </c>
      <c r="C62" s="3">
        <f>Historicals!C87</f>
        <v>-67</v>
      </c>
      <c r="D62" s="3">
        <f>Historicals!D87</f>
        <v>298</v>
      </c>
      <c r="E62" s="3">
        <f>Historicals!E87</f>
        <v>0</v>
      </c>
      <c r="F62" s="3">
        <f>Historicals!F87</f>
        <v>0</v>
      </c>
      <c r="G62" s="3">
        <f>Historicals!G87</f>
        <v>0</v>
      </c>
      <c r="H62" s="3">
        <f>Historicals!H87</f>
        <v>-197</v>
      </c>
      <c r="I62" s="3">
        <f>Historicals!I87</f>
        <v>0</v>
      </c>
      <c r="J62" s="3"/>
      <c r="K62" s="3">
        <f t="shared" ref="K62:N63" si="61">J62*(1+K$4)</f>
        <v>0</v>
      </c>
      <c r="L62" s="3">
        <f t="shared" si="61"/>
        <v>0</v>
      </c>
      <c r="M62" s="3">
        <f t="shared" si="61"/>
        <v>0</v>
      </c>
      <c r="N62" s="3">
        <f t="shared" si="61"/>
        <v>0</v>
      </c>
    </row>
    <row r="63" spans="1:14" x14ac:dyDescent="0.3">
      <c r="A63" t="s">
        <v>190</v>
      </c>
      <c r="B63" s="3">
        <f>Historicals!B86+Historicals!B91</f>
        <v>-906</v>
      </c>
      <c r="C63" s="3">
        <f>Historicals!C86+Historicals!C91</f>
        <v>-1128</v>
      </c>
      <c r="D63" s="3">
        <f>Historicals!D86+Historicals!D91</f>
        <v>-1177</v>
      </c>
      <c r="E63" s="3">
        <f>Historicals!E86+Historicals!E91</f>
        <v>-71</v>
      </c>
      <c r="F63" s="3">
        <f>Historicals!F86+Historicals!F91</f>
        <v>-375</v>
      </c>
      <c r="G63" s="3">
        <f>Historicals!G86+Historicals!G91</f>
        <v>-9</v>
      </c>
      <c r="H63" s="3">
        <f>Historicals!H86+Historicals!H91</f>
        <v>-188</v>
      </c>
      <c r="I63" s="3">
        <f>Historicals!I86+Historicals!I91</f>
        <v>-136</v>
      </c>
      <c r="J63" s="3">
        <v>-102</v>
      </c>
      <c r="K63" s="3">
        <f t="shared" si="61"/>
        <v>-24.831874425374085</v>
      </c>
      <c r="L63" s="3">
        <f t="shared" si="61"/>
        <v>-24.177980936279237</v>
      </c>
      <c r="M63" s="3">
        <f t="shared" si="61"/>
        <v>-23.556090054241341</v>
      </c>
      <c r="N63" s="3">
        <f t="shared" si="61"/>
        <v>-22.964635519807565</v>
      </c>
    </row>
    <row r="64" spans="1:14" x14ac:dyDescent="0.3">
      <c r="A64" s="27" t="s">
        <v>191</v>
      </c>
      <c r="B64" s="26">
        <f>B58-(SUM(B61:B63)+B59)</f>
        <v>2615</v>
      </c>
      <c r="C64" s="26">
        <f t="shared" ref="C64:N64" si="62">C58-(SUM(C61:C63)+C59)</f>
        <v>2515</v>
      </c>
      <c r="D64" s="26">
        <f t="shared" si="62"/>
        <v>2504</v>
      </c>
      <c r="E64" s="26">
        <f t="shared" si="62"/>
        <v>3785</v>
      </c>
      <c r="F64" s="26">
        <f t="shared" si="62"/>
        <v>4179</v>
      </c>
      <c r="G64" s="26">
        <f t="shared" si="62"/>
        <v>2588</v>
      </c>
      <c r="H64" s="26">
        <f t="shared" si="62"/>
        <v>935</v>
      </c>
      <c r="I64" s="26">
        <f t="shared" si="62"/>
        <v>4059</v>
      </c>
      <c r="J64" s="26">
        <f t="shared" si="62"/>
        <v>-2835.0147473827997</v>
      </c>
      <c r="K64" s="26">
        <f t="shared" si="62"/>
        <v>-690.18362942248336</v>
      </c>
      <c r="L64" s="26">
        <f t="shared" si="62"/>
        <v>-672.00914231658635</v>
      </c>
      <c r="M64" s="26">
        <f t="shared" si="62"/>
        <v>-654.72414406324992</v>
      </c>
      <c r="N64" s="26">
        <f t="shared" si="62"/>
        <v>-638.28510163652265</v>
      </c>
    </row>
    <row r="65" spans="1:14" x14ac:dyDescent="0.3">
      <c r="A65" t="s">
        <v>192</v>
      </c>
      <c r="B65" s="3">
        <f>Historicals!B93+Historicals!B95</f>
        <v>2137</v>
      </c>
      <c r="C65" s="3">
        <f>Historicals!C93+Historicals!C95</f>
        <v>3747</v>
      </c>
      <c r="D65" s="3">
        <f>Historicals!D93+Historicals!D95</f>
        <v>3118</v>
      </c>
      <c r="E65" s="3">
        <f>Historicals!E93+Historicals!E95</f>
        <v>3853</v>
      </c>
      <c r="F65" s="3">
        <f>Historicals!F93+Historicals!F95</f>
        <v>4120</v>
      </c>
      <c r="G65" s="3">
        <f>Historicals!G93+Historicals!G95</f>
        <v>4400</v>
      </c>
      <c r="H65" s="3">
        <f>Historicals!H93+Historicals!H95</f>
        <v>8491</v>
      </c>
      <c r="I65" s="3">
        <f>Historicals!I93+Historicals!I95</f>
        <v>9746</v>
      </c>
      <c r="J65" s="3">
        <f>I65*(1+K$4)</f>
        <v>2372.6612563695667</v>
      </c>
      <c r="K65" s="3">
        <f t="shared" ref="K65:N65" si="63">J65*(1+L$4)</f>
        <v>2310.1823745586021</v>
      </c>
      <c r="L65" s="3">
        <f t="shared" si="63"/>
        <v>2250.7613104768243</v>
      </c>
      <c r="M65" s="3">
        <f t="shared" si="63"/>
        <v>2194.2484095690638</v>
      </c>
      <c r="N65" s="3">
        <f t="shared" si="63"/>
        <v>2194.2484095690638</v>
      </c>
    </row>
    <row r="66" spans="1:14" x14ac:dyDescent="0.3">
      <c r="A66" s="27" t="s">
        <v>193</v>
      </c>
      <c r="B66" s="66">
        <f>B55+B58+B64</f>
        <v>5357</v>
      </c>
      <c r="C66" s="66">
        <f t="shared" ref="C66:N66" si="64">C55+C58+C64</f>
        <v>262</v>
      </c>
      <c r="D66" s="66">
        <f t="shared" si="64"/>
        <v>1543</v>
      </c>
      <c r="E66" s="66">
        <f t="shared" si="64"/>
        <v>6528</v>
      </c>
      <c r="F66" s="66">
        <f t="shared" si="64"/>
        <v>6769</v>
      </c>
      <c r="G66" s="66">
        <f t="shared" si="64"/>
        <v>1327</v>
      </c>
      <c r="H66" s="66">
        <f t="shared" si="64"/>
        <v>3685</v>
      </c>
      <c r="I66" s="66">
        <f t="shared" si="64"/>
        <v>3396</v>
      </c>
      <c r="J66" s="66">
        <f t="shared" si="64"/>
        <v>-9289.0147473828001</v>
      </c>
      <c r="K66" s="66">
        <f t="shared" si="64"/>
        <v>-2261.4083112005651</v>
      </c>
      <c r="L66" s="66">
        <f t="shared" si="64"/>
        <v>-2201.8590341082154</v>
      </c>
      <c r="M66" s="66">
        <f t="shared" si="64"/>
        <v>-2145.224195142403</v>
      </c>
      <c r="N66" s="66">
        <f t="shared" si="64"/>
        <v>-2091.3611569780719</v>
      </c>
    </row>
    <row r="67" spans="1:14" x14ac:dyDescent="0.3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v>8574</v>
      </c>
      <c r="K67" s="3">
        <f>J67*(1+L$4)</f>
        <v>8348.2223289527301</v>
      </c>
      <c r="L67" s="3">
        <f>K67*(1+M$4)</f>
        <v>8133.494583022105</v>
      </c>
      <c r="M67" s="3">
        <f t="shared" ref="M67:N67" si="65">L67*(1+N$4)</f>
        <v>7929.275960965394</v>
      </c>
      <c r="N67" s="3">
        <f t="shared" si="65"/>
        <v>7929.275960965394</v>
      </c>
    </row>
    <row r="68" spans="1:14" ht="15" thickBot="1" x14ac:dyDescent="0.35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>
        <v>7441</v>
      </c>
      <c r="K68" s="7">
        <f>J68*(1+K4)</f>
        <v>1811.5095843059662</v>
      </c>
      <c r="L68" s="7">
        <f t="shared" ref="L68:N68" si="66">K68*(1+L4)</f>
        <v>1763.8074132044487</v>
      </c>
      <c r="M68" s="7">
        <f t="shared" si="66"/>
        <v>1718.4398636628409</v>
      </c>
      <c r="N68" s="7">
        <f t="shared" si="66"/>
        <v>1675.2926755185104</v>
      </c>
    </row>
    <row r="69" spans="1:14" ht="15" thickTop="1" x14ac:dyDescent="0.3">
      <c r="A69" s="1" t="s">
        <v>196</v>
      </c>
      <c r="B69" s="48">
        <f>(Historicals!B46+Historicals!B45)-(B68+Historicals!B25)</f>
        <v>-293</v>
      </c>
      <c r="C69" s="48">
        <f>(Historicals!C46+Historicals!C45)-(C68+Historicals!C25)</f>
        <v>1075</v>
      </c>
      <c r="D69" s="48">
        <f>(Historicals!D46+Historicals!D45)-(D68+Historicals!D25)</f>
        <v>1329</v>
      </c>
      <c r="E69" s="48">
        <f>(Historicals!E46+Historicals!E45)-(E68+Historicals!E25)</f>
        <v>1010</v>
      </c>
      <c r="F69" s="48">
        <f>(Historicals!F46+Historicals!F45)-(F68+Historicals!F25)</f>
        <v>2398</v>
      </c>
      <c r="G69" s="48">
        <f>(Historicals!G46+Historicals!G45)-(G68+Historicals!G25)</f>
        <v>994</v>
      </c>
      <c r="H69" s="48">
        <f>(Historicals!H46+Historicals!H45)-(H68+Historicals!H25)</f>
        <v>-691</v>
      </c>
      <c r="I69" s="48">
        <f>(Historicals!I46+Historicals!I45)-(I68+Historicals!I25)</f>
        <v>2502</v>
      </c>
      <c r="J69" s="48">
        <f>(Historicals!J46+Historicals!J45)-(J68+Historicals!J25)</f>
        <v>-7441</v>
      </c>
      <c r="K69" s="48">
        <f>(Historicals!K46+Historicals!K45)-(K68+Historicals!K25)</f>
        <v>-1811.5095843059662</v>
      </c>
      <c r="L69" s="48">
        <f>(Historicals!L46+Historicals!L45)-(L68+Historicals!L25)</f>
        <v>-1763.8074132044487</v>
      </c>
      <c r="M69" s="48">
        <f>(Historicals!M46+Historicals!M45)-(M68+Historicals!M25)</f>
        <v>-1718.4398636628409</v>
      </c>
      <c r="N69" s="48">
        <f>(Historicals!N46+Historicals!N45)-(N68+Historicals!N25)</f>
        <v>-1675.2926755185104</v>
      </c>
    </row>
  </sheetData>
  <pageMargins left="0.7" right="0.7" top="0.75" bottom="0.75" header="0.3" footer="0.3"/>
  <ignoredErrors>
    <ignoredError sqref="B25:I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2024-06-20T17:10:17Z</dcterms:modified>
</cp:coreProperties>
</file>