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udent\Downloads\Investment Banking 2024\"/>
    </mc:Choice>
  </mc:AlternateContent>
  <xr:revisionPtr revIDLastSave="0" documentId="8_{F9266F88-5213-4343-91A4-6823BDF8CE2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B70" i="4"/>
  <c r="C19" i="4"/>
  <c r="D19" i="4"/>
  <c r="E19" i="4"/>
  <c r="F19" i="4"/>
  <c r="G19" i="4"/>
  <c r="H19" i="4"/>
  <c r="I19" i="4"/>
  <c r="J19" i="4"/>
  <c r="K19" i="4"/>
  <c r="L19" i="4"/>
  <c r="M19" i="4"/>
  <c r="N19" i="4"/>
  <c r="B19" i="4"/>
  <c r="B17" i="4"/>
  <c r="C23" i="4"/>
  <c r="D23" i="4"/>
  <c r="E23" i="4"/>
  <c r="F23" i="4"/>
  <c r="G23" i="4"/>
  <c r="H23" i="4"/>
  <c r="H24" i="4" s="1"/>
  <c r="I23" i="4"/>
  <c r="J23" i="4"/>
  <c r="K23" i="4"/>
  <c r="L23" i="4"/>
  <c r="M23" i="4"/>
  <c r="N23" i="4"/>
  <c r="B23" i="4"/>
  <c r="B24" i="4" s="1"/>
  <c r="J55" i="4"/>
  <c r="K55" i="4"/>
  <c r="L55" i="4"/>
  <c r="M55" i="4"/>
  <c r="N55" i="4"/>
  <c r="B55" i="4"/>
  <c r="F53" i="4"/>
  <c r="F55" i="4" s="1"/>
  <c r="B53" i="4"/>
  <c r="I54" i="4"/>
  <c r="H54" i="4"/>
  <c r="G54" i="4"/>
  <c r="F54" i="4"/>
  <c r="E54" i="4"/>
  <c r="D54" i="4"/>
  <c r="C54" i="4"/>
  <c r="B54" i="4"/>
  <c r="D51" i="4"/>
  <c r="D53" i="4" s="1"/>
  <c r="D55" i="4" s="1"/>
  <c r="E51" i="4"/>
  <c r="E53" i="4" s="1"/>
  <c r="E55" i="4" s="1"/>
  <c r="F51" i="4"/>
  <c r="G51" i="4"/>
  <c r="G53" i="4" s="1"/>
  <c r="G55" i="4" s="1"/>
  <c r="I51" i="4"/>
  <c r="I53" i="4" s="1"/>
  <c r="I55" i="4" s="1"/>
  <c r="C51" i="4"/>
  <c r="C53" i="4" s="1"/>
  <c r="C55" i="4" s="1"/>
  <c r="C49" i="4"/>
  <c r="D49" i="4"/>
  <c r="E49" i="4"/>
  <c r="F49" i="4"/>
  <c r="G49" i="4"/>
  <c r="H49" i="4"/>
  <c r="I49" i="4"/>
  <c r="B49" i="4"/>
  <c r="C52" i="4"/>
  <c r="D52" i="4"/>
  <c r="E52" i="4"/>
  <c r="F52" i="4"/>
  <c r="G52" i="4"/>
  <c r="H52" i="4"/>
  <c r="I52" i="4"/>
  <c r="J52" i="4"/>
  <c r="K52" i="4"/>
  <c r="L52" i="4"/>
  <c r="M52" i="4"/>
  <c r="N52" i="4"/>
  <c r="B52" i="4"/>
  <c r="J70" i="4"/>
  <c r="K70" i="4"/>
  <c r="L70" i="4"/>
  <c r="M70" i="4"/>
  <c r="N70" i="4"/>
  <c r="I57" i="4"/>
  <c r="H57" i="4"/>
  <c r="G57" i="4"/>
  <c r="F57" i="4"/>
  <c r="E57" i="4"/>
  <c r="D57" i="4"/>
  <c r="C57" i="4"/>
  <c r="B57" i="4"/>
  <c r="B58" i="4" s="1"/>
  <c r="I56" i="4"/>
  <c r="H56" i="4"/>
  <c r="G56" i="4"/>
  <c r="F56" i="4"/>
  <c r="E56" i="4"/>
  <c r="D56" i="4"/>
  <c r="C56" i="4"/>
  <c r="B56" i="4"/>
  <c r="D69" i="4"/>
  <c r="I68" i="4"/>
  <c r="I69" i="4" s="1"/>
  <c r="H68" i="4"/>
  <c r="H69" i="4" s="1"/>
  <c r="G68" i="4"/>
  <c r="G69" i="4" s="1"/>
  <c r="F68" i="4"/>
  <c r="F69" i="4" s="1"/>
  <c r="E68" i="4"/>
  <c r="E69" i="4" s="1"/>
  <c r="D68" i="4"/>
  <c r="C68" i="4"/>
  <c r="C69" i="4" s="1"/>
  <c r="B68" i="4"/>
  <c r="B69" i="4" s="1"/>
  <c r="I67" i="4"/>
  <c r="H67" i="4"/>
  <c r="G67" i="4"/>
  <c r="F67" i="4"/>
  <c r="E67" i="4"/>
  <c r="D67" i="4"/>
  <c r="C67" i="4"/>
  <c r="B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0" i="4" s="1"/>
  <c r="H59" i="4"/>
  <c r="H60" i="4" s="1"/>
  <c r="G59" i="4"/>
  <c r="G60" i="4" s="1"/>
  <c r="F59" i="4"/>
  <c r="F60" i="4" s="1"/>
  <c r="E59" i="4"/>
  <c r="E60" i="4" s="1"/>
  <c r="D59" i="4"/>
  <c r="C59" i="4"/>
  <c r="D60" i="4" s="1"/>
  <c r="B59" i="4"/>
  <c r="I58" i="4"/>
  <c r="H58" i="4"/>
  <c r="G58" i="4"/>
  <c r="F58" i="4"/>
  <c r="E58" i="4"/>
  <c r="D58" i="4"/>
  <c r="D64" i="4" s="1"/>
  <c r="C5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I43" i="4" s="1"/>
  <c r="H33" i="4"/>
  <c r="H43" i="4" s="1"/>
  <c r="G33" i="4"/>
  <c r="G43" i="4" s="1"/>
  <c r="F33" i="4"/>
  <c r="F43" i="4" s="1"/>
  <c r="E33" i="4"/>
  <c r="E43" i="4" s="1"/>
  <c r="D33" i="4"/>
  <c r="D43" i="4" s="1"/>
  <c r="C33" i="4"/>
  <c r="C43" i="4" s="1"/>
  <c r="B33" i="4"/>
  <c r="B43" i="4" s="1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I31" i="4" s="1"/>
  <c r="H26" i="4"/>
  <c r="H31" i="4" s="1"/>
  <c r="G26" i="4"/>
  <c r="G31" i="4" s="1"/>
  <c r="F26" i="4"/>
  <c r="F31" i="4" s="1"/>
  <c r="E26" i="4"/>
  <c r="E31" i="4" s="1"/>
  <c r="D26" i="4"/>
  <c r="D31" i="4" s="1"/>
  <c r="C26" i="4"/>
  <c r="C31" i="4" s="1"/>
  <c r="B26" i="4"/>
  <c r="I25" i="4"/>
  <c r="H25" i="4"/>
  <c r="G25" i="4"/>
  <c r="F25" i="4"/>
  <c r="E25" i="4"/>
  <c r="D25" i="4"/>
  <c r="C25" i="4"/>
  <c r="B25" i="4"/>
  <c r="B30" i="4" s="1"/>
  <c r="I24" i="4"/>
  <c r="G24" i="4"/>
  <c r="F24" i="4"/>
  <c r="E24" i="4"/>
  <c r="D24" i="4"/>
  <c r="C24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16" i="4"/>
  <c r="I18" i="4" s="1"/>
  <c r="H16" i="4"/>
  <c r="H17" i="4" s="1"/>
  <c r="G16" i="4"/>
  <c r="G17" i="4" s="1"/>
  <c r="F16" i="4"/>
  <c r="F17" i="4" s="1"/>
  <c r="E16" i="4"/>
  <c r="E17" i="4" s="1"/>
  <c r="D16" i="4"/>
  <c r="D17" i="4" s="1"/>
  <c r="C16" i="4"/>
  <c r="C17" i="4" s="1"/>
  <c r="B16" i="4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B13" i="4" s="1"/>
  <c r="I10" i="4"/>
  <c r="I11" i="4" s="1"/>
  <c r="I14" i="4" s="1"/>
  <c r="H10" i="4"/>
  <c r="G10" i="4"/>
  <c r="F10" i="4"/>
  <c r="E10" i="4"/>
  <c r="D10" i="4"/>
  <c r="C10" i="4"/>
  <c r="B10" i="4"/>
  <c r="I9" i="4"/>
  <c r="I7" i="4"/>
  <c r="I8" i="4" s="1"/>
  <c r="H7" i="4"/>
  <c r="H11" i="4" s="1"/>
  <c r="H14" i="4" s="1"/>
  <c r="G7" i="4"/>
  <c r="G8" i="4" s="1"/>
  <c r="F7" i="4"/>
  <c r="F8" i="4" s="1"/>
  <c r="E7" i="4"/>
  <c r="E8" i="4" s="1"/>
  <c r="D7" i="4"/>
  <c r="D8" i="4" s="1"/>
  <c r="C7" i="4"/>
  <c r="C8" i="4" s="1"/>
  <c r="B7" i="4"/>
  <c r="B11" i="4" s="1"/>
  <c r="B14" i="4" s="1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3" i="4"/>
  <c r="I4" i="4" s="1"/>
  <c r="H3" i="4"/>
  <c r="H4" i="4" s="1"/>
  <c r="G3" i="4"/>
  <c r="F3" i="4"/>
  <c r="F4" i="4" s="1"/>
  <c r="E3" i="4"/>
  <c r="E4" i="4" s="1"/>
  <c r="D3" i="4"/>
  <c r="D4" i="4" s="1"/>
  <c r="C3" i="4"/>
  <c r="C4" i="4" s="1"/>
  <c r="B3" i="4"/>
  <c r="H1" i="4"/>
  <c r="G1" i="4" s="1"/>
  <c r="F1" i="4" s="1"/>
  <c r="E1" i="4" s="1"/>
  <c r="D1" i="4" s="1"/>
  <c r="C1" i="4" s="1"/>
  <c r="B1" i="4" s="1"/>
  <c r="J1" i="4"/>
  <c r="K1" i="4" s="1"/>
  <c r="L1" i="4" s="1"/>
  <c r="M1" i="4" s="1"/>
  <c r="N1" i="4" s="1"/>
  <c r="I52" i="3"/>
  <c r="I53" i="3" s="1"/>
  <c r="H52" i="3"/>
  <c r="H53" i="3" s="1"/>
  <c r="G52" i="3"/>
  <c r="G53" i="3" s="1"/>
  <c r="F52" i="3"/>
  <c r="F53" i="3" s="1"/>
  <c r="E52" i="3"/>
  <c r="E53" i="3" s="1"/>
  <c r="D52" i="3"/>
  <c r="D53" i="3" s="1"/>
  <c r="C52" i="3"/>
  <c r="C53" i="3" s="1"/>
  <c r="B52" i="3"/>
  <c r="B53" i="3" s="1"/>
  <c r="E49" i="3"/>
  <c r="D49" i="3"/>
  <c r="I48" i="3"/>
  <c r="I49" i="3" s="1"/>
  <c r="H48" i="3"/>
  <c r="H49" i="3" s="1"/>
  <c r="G48" i="3"/>
  <c r="G49" i="3" s="1"/>
  <c r="F48" i="3"/>
  <c r="F50" i="3" s="1"/>
  <c r="E48" i="3"/>
  <c r="E50" i="3" s="1"/>
  <c r="D48" i="3"/>
  <c r="D50" i="3" s="1"/>
  <c r="C48" i="3"/>
  <c r="C49" i="3" s="1"/>
  <c r="B48" i="3"/>
  <c r="B49" i="3" s="1"/>
  <c r="F47" i="3"/>
  <c r="E46" i="3"/>
  <c r="D46" i="3"/>
  <c r="C46" i="3"/>
  <c r="I45" i="3"/>
  <c r="I46" i="3" s="1"/>
  <c r="H45" i="3"/>
  <c r="H46" i="3" s="1"/>
  <c r="G45" i="3"/>
  <c r="G46" i="3" s="1"/>
  <c r="F45" i="3"/>
  <c r="F46" i="3" s="1"/>
  <c r="E45" i="3"/>
  <c r="E47" i="3" s="1"/>
  <c r="D45" i="3"/>
  <c r="D47" i="3" s="1"/>
  <c r="C45" i="3"/>
  <c r="C47" i="3" s="1"/>
  <c r="B45" i="3"/>
  <c r="B46" i="3" s="1"/>
  <c r="F44" i="3"/>
  <c r="E44" i="3"/>
  <c r="D43" i="3"/>
  <c r="C43" i="3"/>
  <c r="B43" i="3"/>
  <c r="I42" i="3"/>
  <c r="I43" i="3" s="1"/>
  <c r="H42" i="3"/>
  <c r="H43" i="3" s="1"/>
  <c r="G42" i="3"/>
  <c r="G43" i="3" s="1"/>
  <c r="F42" i="3"/>
  <c r="F43" i="3" s="1"/>
  <c r="E42" i="3"/>
  <c r="E43" i="3" s="1"/>
  <c r="D42" i="3"/>
  <c r="D44" i="3" s="1"/>
  <c r="C42" i="3"/>
  <c r="C44" i="3" s="1"/>
  <c r="B42" i="3"/>
  <c r="B44" i="3" s="1"/>
  <c r="F41" i="3"/>
  <c r="E41" i="3"/>
  <c r="D41" i="3"/>
  <c r="I40" i="3"/>
  <c r="B40" i="3"/>
  <c r="H39" i="3"/>
  <c r="G39" i="3"/>
  <c r="F39" i="3"/>
  <c r="I38" i="3"/>
  <c r="I41" i="3" s="1"/>
  <c r="J41" i="3" s="1"/>
  <c r="H38" i="3"/>
  <c r="H40" i="3" s="1"/>
  <c r="G38" i="3"/>
  <c r="G40" i="3" s="1"/>
  <c r="F38" i="3"/>
  <c r="F40" i="3" s="1"/>
  <c r="E38" i="3"/>
  <c r="E39" i="3" s="1"/>
  <c r="D38" i="3"/>
  <c r="D39" i="3" s="1"/>
  <c r="C38" i="3"/>
  <c r="C41" i="3" s="1"/>
  <c r="B38" i="3"/>
  <c r="B41" i="3" s="1"/>
  <c r="F35" i="3"/>
  <c r="F37" i="3" s="1"/>
  <c r="B35" i="3"/>
  <c r="B36" i="3" s="1"/>
  <c r="K34" i="3"/>
  <c r="L34" i="3" s="1"/>
  <c r="M34" i="3" s="1"/>
  <c r="N34" i="3" s="1"/>
  <c r="K33" i="3"/>
  <c r="L33" i="3" s="1"/>
  <c r="I33" i="3"/>
  <c r="H33" i="3"/>
  <c r="G33" i="3"/>
  <c r="F33" i="3"/>
  <c r="E33" i="3"/>
  <c r="D33" i="3"/>
  <c r="C33" i="3"/>
  <c r="B33" i="3"/>
  <c r="J32" i="3"/>
  <c r="I32" i="3"/>
  <c r="I34" i="3" s="1"/>
  <c r="H32" i="3"/>
  <c r="H34" i="3" s="1"/>
  <c r="G32" i="3"/>
  <c r="G34" i="3" s="1"/>
  <c r="B32" i="3"/>
  <c r="B34" i="3" s="1"/>
  <c r="I31" i="3"/>
  <c r="H31" i="3"/>
  <c r="G31" i="3"/>
  <c r="F31" i="3"/>
  <c r="F32" i="3" s="1"/>
  <c r="F34" i="3" s="1"/>
  <c r="E31" i="3"/>
  <c r="E32" i="3" s="1"/>
  <c r="E34" i="3" s="1"/>
  <c r="D31" i="3"/>
  <c r="D32" i="3" s="1"/>
  <c r="D34" i="3" s="1"/>
  <c r="C31" i="3"/>
  <c r="C32" i="3" s="1"/>
  <c r="C34" i="3" s="1"/>
  <c r="B31" i="3"/>
  <c r="K30" i="3"/>
  <c r="L30" i="3" s="1"/>
  <c r="M30" i="3" s="1"/>
  <c r="N30" i="3" s="1"/>
  <c r="L29" i="3"/>
  <c r="M29" i="3" s="1"/>
  <c r="K29" i="3"/>
  <c r="I29" i="3"/>
  <c r="H29" i="3"/>
  <c r="G29" i="3"/>
  <c r="F29" i="3"/>
  <c r="E29" i="3"/>
  <c r="D29" i="3"/>
  <c r="C29" i="3"/>
  <c r="B29" i="3"/>
  <c r="K28" i="3"/>
  <c r="K27" i="3" s="1"/>
  <c r="J28" i="3"/>
  <c r="I28" i="3"/>
  <c r="I30" i="3" s="1"/>
  <c r="H28" i="3"/>
  <c r="H30" i="3" s="1"/>
  <c r="C28" i="3"/>
  <c r="C30" i="3" s="1"/>
  <c r="I27" i="3"/>
  <c r="H27" i="3"/>
  <c r="G27" i="3"/>
  <c r="G28" i="3" s="1"/>
  <c r="G30" i="3" s="1"/>
  <c r="F27" i="3"/>
  <c r="F28" i="3" s="1"/>
  <c r="F30" i="3" s="1"/>
  <c r="E27" i="3"/>
  <c r="E28" i="3" s="1"/>
  <c r="E30" i="3" s="1"/>
  <c r="D27" i="3"/>
  <c r="D28" i="3" s="1"/>
  <c r="D30" i="3" s="1"/>
  <c r="C27" i="3"/>
  <c r="B27" i="3"/>
  <c r="B28" i="3" s="1"/>
  <c r="B30" i="3" s="1"/>
  <c r="L26" i="3"/>
  <c r="M26" i="3" s="1"/>
  <c r="N26" i="3" s="1"/>
  <c r="K26" i="3"/>
  <c r="M25" i="3"/>
  <c r="L25" i="3"/>
  <c r="K25" i="3"/>
  <c r="I25" i="3"/>
  <c r="H25" i="3"/>
  <c r="G25" i="3"/>
  <c r="F25" i="3"/>
  <c r="E25" i="3"/>
  <c r="D25" i="3"/>
  <c r="C25" i="3"/>
  <c r="B25" i="3"/>
  <c r="L24" i="3"/>
  <c r="K24" i="3"/>
  <c r="J24" i="3"/>
  <c r="I24" i="3"/>
  <c r="I26" i="3" s="1"/>
  <c r="D24" i="3"/>
  <c r="D26" i="3" s="1"/>
  <c r="B24" i="3"/>
  <c r="B26" i="3" s="1"/>
  <c r="K23" i="3"/>
  <c r="L23" i="3" s="1"/>
  <c r="I23" i="3"/>
  <c r="H23" i="3"/>
  <c r="H24" i="3" s="1"/>
  <c r="H26" i="3" s="1"/>
  <c r="G23" i="3"/>
  <c r="F23" i="3"/>
  <c r="G24" i="3" s="1"/>
  <c r="G26" i="3" s="1"/>
  <c r="E23" i="3"/>
  <c r="E24" i="3" s="1"/>
  <c r="E26" i="3" s="1"/>
  <c r="D23" i="3"/>
  <c r="C23" i="3"/>
  <c r="C24" i="3" s="1"/>
  <c r="C26" i="3" s="1"/>
  <c r="B23" i="3"/>
  <c r="J22" i="3"/>
  <c r="E22" i="3"/>
  <c r="C22" i="3"/>
  <c r="B22" i="3"/>
  <c r="J21" i="3"/>
  <c r="I21" i="3"/>
  <c r="H21" i="3"/>
  <c r="I22" i="3" s="1"/>
  <c r="G21" i="3"/>
  <c r="G22" i="3" s="1"/>
  <c r="F21" i="3"/>
  <c r="F22" i="3" s="1"/>
  <c r="E21" i="3"/>
  <c r="D21" i="3"/>
  <c r="D22" i="3" s="1"/>
  <c r="C21" i="3"/>
  <c r="B21" i="3"/>
  <c r="A20" i="3"/>
  <c r="H19" i="3"/>
  <c r="E19" i="3"/>
  <c r="N18" i="3"/>
  <c r="M18" i="3"/>
  <c r="L18" i="3"/>
  <c r="K18" i="3"/>
  <c r="J18" i="3"/>
  <c r="I17" i="3"/>
  <c r="I18" i="3" s="1"/>
  <c r="H17" i="3"/>
  <c r="H18" i="3" s="1"/>
  <c r="G17" i="3"/>
  <c r="G18" i="3" s="1"/>
  <c r="F17" i="3"/>
  <c r="F18" i="3" s="1"/>
  <c r="E17" i="3"/>
  <c r="E18" i="3" s="1"/>
  <c r="D17" i="3"/>
  <c r="D19" i="3" s="1"/>
  <c r="C17" i="3"/>
  <c r="C19" i="3" s="1"/>
  <c r="B17" i="3"/>
  <c r="B18" i="3" s="1"/>
  <c r="G16" i="3"/>
  <c r="B16" i="3"/>
  <c r="J15" i="3"/>
  <c r="K14" i="3" s="1"/>
  <c r="G15" i="3"/>
  <c r="E15" i="3"/>
  <c r="D15" i="3"/>
  <c r="B15" i="3"/>
  <c r="I14" i="3"/>
  <c r="H16" i="3" s="1"/>
  <c r="H14" i="3"/>
  <c r="G14" i="3"/>
  <c r="F14" i="3"/>
  <c r="F16" i="3" s="1"/>
  <c r="E14" i="3"/>
  <c r="E16" i="3" s="1"/>
  <c r="D14" i="3"/>
  <c r="C14" i="3"/>
  <c r="C15" i="3" s="1"/>
  <c r="B14" i="3"/>
  <c r="H13" i="3"/>
  <c r="E13" i="3"/>
  <c r="J12" i="3"/>
  <c r="K11" i="3" s="1"/>
  <c r="E12" i="3"/>
  <c r="C12" i="3"/>
  <c r="B12" i="3"/>
  <c r="I11" i="3"/>
  <c r="I12" i="3" s="1"/>
  <c r="H11" i="3"/>
  <c r="G11" i="3"/>
  <c r="H12" i="3" s="1"/>
  <c r="F11" i="3"/>
  <c r="F13" i="3" s="1"/>
  <c r="E11" i="3"/>
  <c r="D11" i="3"/>
  <c r="D13" i="3" s="1"/>
  <c r="C11" i="3"/>
  <c r="B11" i="3"/>
  <c r="D10" i="3"/>
  <c r="C10" i="3"/>
  <c r="I9" i="3"/>
  <c r="H9" i="3"/>
  <c r="C9" i="3"/>
  <c r="J8" i="3"/>
  <c r="I8" i="3"/>
  <c r="H8" i="3"/>
  <c r="H10" i="3" s="1"/>
  <c r="G8" i="3"/>
  <c r="G9" i="3" s="1"/>
  <c r="F8" i="3"/>
  <c r="F9" i="3" s="1"/>
  <c r="E8" i="3"/>
  <c r="E5" i="3" s="1"/>
  <c r="D8" i="3"/>
  <c r="D9" i="3" s="1"/>
  <c r="C8" i="3"/>
  <c r="C5" i="3" s="1"/>
  <c r="B8" i="3"/>
  <c r="B10" i="3" s="1"/>
  <c r="B7" i="3"/>
  <c r="B6" i="3"/>
  <c r="J5" i="3"/>
  <c r="D5" i="3"/>
  <c r="B5" i="3"/>
  <c r="I4" i="3"/>
  <c r="D4" i="3"/>
  <c r="B4" i="3"/>
  <c r="I3" i="3"/>
  <c r="I10" i="3" s="1"/>
  <c r="H3" i="3"/>
  <c r="H4" i="3" s="1"/>
  <c r="G3" i="3"/>
  <c r="G4" i="3" s="1"/>
  <c r="F3" i="3"/>
  <c r="F4" i="3" s="1"/>
  <c r="E3" i="3"/>
  <c r="E4" i="3" s="1"/>
  <c r="D3" i="3"/>
  <c r="D16" i="3" s="1"/>
  <c r="C3" i="3"/>
  <c r="C13" i="3" s="1"/>
  <c r="B3" i="3"/>
  <c r="B13" i="3" s="1"/>
  <c r="K1" i="3"/>
  <c r="L1" i="3" s="1"/>
  <c r="M1" i="3" s="1"/>
  <c r="N1" i="3" s="1"/>
  <c r="J1" i="3"/>
  <c r="H1" i="3"/>
  <c r="G1" i="3" s="1"/>
  <c r="F1" i="3" s="1"/>
  <c r="E1" i="3" s="1"/>
  <c r="D1" i="3" s="1"/>
  <c r="C1" i="3" s="1"/>
  <c r="B1" i="3" s="1"/>
  <c r="H202" i="1"/>
  <c r="G202" i="1"/>
  <c r="F202" i="1"/>
  <c r="E202" i="1"/>
  <c r="D202" i="1"/>
  <c r="C202" i="1"/>
  <c r="H201" i="1"/>
  <c r="G201" i="1"/>
  <c r="H200" i="1"/>
  <c r="G200" i="1"/>
  <c r="H199" i="1"/>
  <c r="G199" i="1"/>
  <c r="H198" i="1"/>
  <c r="G198" i="1"/>
  <c r="F198" i="1"/>
  <c r="E198" i="1"/>
  <c r="D198" i="1"/>
  <c r="C198" i="1"/>
  <c r="C197" i="1"/>
  <c r="H195" i="1"/>
  <c r="G195" i="1"/>
  <c r="F195" i="1"/>
  <c r="E195" i="1"/>
  <c r="D195" i="1"/>
  <c r="C195" i="1"/>
  <c r="H194" i="1"/>
  <c r="G194" i="1"/>
  <c r="F194" i="1"/>
  <c r="H193" i="1"/>
  <c r="G193" i="1"/>
  <c r="F193" i="1"/>
  <c r="C193" i="1"/>
  <c r="H192" i="1"/>
  <c r="G192" i="1"/>
  <c r="F192" i="1"/>
  <c r="G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G187" i="1"/>
  <c r="E187" i="1"/>
  <c r="H186" i="1"/>
  <c r="G186" i="1"/>
  <c r="F186" i="1"/>
  <c r="E186" i="1"/>
  <c r="H185" i="1"/>
  <c r="G185" i="1"/>
  <c r="F185" i="1"/>
  <c r="C185" i="1"/>
  <c r="H184" i="1"/>
  <c r="G184" i="1"/>
  <c r="F184" i="1"/>
  <c r="G183" i="1"/>
  <c r="E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G179" i="1"/>
  <c r="E179" i="1"/>
  <c r="I172" i="1"/>
  <c r="I175" i="1" s="1"/>
  <c r="I176" i="1" s="1"/>
  <c r="H172" i="1"/>
  <c r="H175" i="1" s="1"/>
  <c r="H176" i="1" s="1"/>
  <c r="F172" i="1"/>
  <c r="F175" i="1" s="1"/>
  <c r="F176" i="1" s="1"/>
  <c r="E172" i="1"/>
  <c r="E175" i="1" s="1"/>
  <c r="E176" i="1" s="1"/>
  <c r="D172" i="1"/>
  <c r="D175" i="1" s="1"/>
  <c r="D176" i="1" s="1"/>
  <c r="G169" i="1"/>
  <c r="G172" i="1" s="1"/>
  <c r="G175" i="1" s="1"/>
  <c r="G176" i="1" s="1"/>
  <c r="C168" i="1"/>
  <c r="C172" i="1" s="1"/>
  <c r="C175" i="1" s="1"/>
  <c r="C176" i="1" s="1"/>
  <c r="B168" i="1"/>
  <c r="B172" i="1" s="1"/>
  <c r="B175" i="1" s="1"/>
  <c r="B176" i="1" s="1"/>
  <c r="I161" i="1"/>
  <c r="I163" i="1" s="1"/>
  <c r="I164" i="1" s="1"/>
  <c r="I165" i="1" s="1"/>
  <c r="H161" i="1"/>
  <c r="G161" i="1"/>
  <c r="F161" i="1"/>
  <c r="E161" i="1"/>
  <c r="D158" i="1"/>
  <c r="B158" i="1"/>
  <c r="D157" i="1"/>
  <c r="D161" i="1" s="1"/>
  <c r="C157" i="1"/>
  <c r="C161" i="1" s="1"/>
  <c r="B157" i="1"/>
  <c r="B161" i="1" s="1"/>
  <c r="D153" i="1"/>
  <c r="D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C149" i="1"/>
  <c r="D148" i="1"/>
  <c r="B148" i="1"/>
  <c r="D146" i="1"/>
  <c r="C146" i="1"/>
  <c r="C150" i="1" s="1"/>
  <c r="C153" i="1" s="1"/>
  <c r="C154" i="1" s="1"/>
  <c r="B146" i="1"/>
  <c r="B150" i="1" s="1"/>
  <c r="B153" i="1" s="1"/>
  <c r="B154" i="1" s="1"/>
  <c r="I139" i="1"/>
  <c r="I142" i="1" s="1"/>
  <c r="H139" i="1"/>
  <c r="H142" i="1" s="1"/>
  <c r="G139" i="1"/>
  <c r="G142" i="1" s="1"/>
  <c r="F139" i="1"/>
  <c r="F142" i="1" s="1"/>
  <c r="E139" i="1"/>
  <c r="E142" i="1" s="1"/>
  <c r="E143" i="1" s="1"/>
  <c r="D139" i="1"/>
  <c r="D142" i="1" s="1"/>
  <c r="D143" i="1" s="1"/>
  <c r="B139" i="1"/>
  <c r="B142" i="1" s="1"/>
  <c r="D137" i="1"/>
  <c r="C137" i="1"/>
  <c r="B137" i="1"/>
  <c r="C136" i="1"/>
  <c r="D135" i="1"/>
  <c r="C135" i="1"/>
  <c r="C139" i="1" s="1"/>
  <c r="C142" i="1" s="1"/>
  <c r="I125" i="1"/>
  <c r="H125" i="1"/>
  <c r="H197" i="1" s="1"/>
  <c r="G125" i="1"/>
  <c r="G197" i="1" s="1"/>
  <c r="F125" i="1"/>
  <c r="F197" i="1" s="1"/>
  <c r="E125" i="1"/>
  <c r="E197" i="1" s="1"/>
  <c r="D125" i="1"/>
  <c r="D197" i="1" s="1"/>
  <c r="C125" i="1"/>
  <c r="B125" i="1"/>
  <c r="G124" i="1"/>
  <c r="D122" i="1"/>
  <c r="D119" i="1" s="1"/>
  <c r="C122" i="1"/>
  <c r="B122" i="1"/>
  <c r="C194" i="1" s="1"/>
  <c r="D121" i="1"/>
  <c r="E193" i="1" s="1"/>
  <c r="C121" i="1"/>
  <c r="B121" i="1"/>
  <c r="D120" i="1"/>
  <c r="E192" i="1" s="1"/>
  <c r="C120" i="1"/>
  <c r="C192" i="1" s="1"/>
  <c r="B120" i="1"/>
  <c r="B119" i="1" s="1"/>
  <c r="I119" i="1"/>
  <c r="H119" i="1"/>
  <c r="H191" i="1" s="1"/>
  <c r="G119" i="1"/>
  <c r="F119" i="1"/>
  <c r="F191" i="1" s="1"/>
  <c r="E119" i="1"/>
  <c r="C119" i="1"/>
  <c r="C191" i="1" s="1"/>
  <c r="I115" i="1"/>
  <c r="H115" i="1"/>
  <c r="H187" i="1" s="1"/>
  <c r="G115" i="1"/>
  <c r="F115" i="1"/>
  <c r="F187" i="1" s="1"/>
  <c r="E115" i="1"/>
  <c r="D115" i="1"/>
  <c r="D187" i="1" s="1"/>
  <c r="C115" i="1"/>
  <c r="C187" i="1" s="1"/>
  <c r="B115" i="1"/>
  <c r="D114" i="1"/>
  <c r="D186" i="1" s="1"/>
  <c r="C114" i="1"/>
  <c r="C186" i="1" s="1"/>
  <c r="B114" i="1"/>
  <c r="D113" i="1"/>
  <c r="E185" i="1" s="1"/>
  <c r="C113" i="1"/>
  <c r="B113" i="1"/>
  <c r="B111" i="1" s="1"/>
  <c r="D112" i="1"/>
  <c r="E184" i="1" s="1"/>
  <c r="C112" i="1"/>
  <c r="C184" i="1" s="1"/>
  <c r="B112" i="1"/>
  <c r="I111" i="1"/>
  <c r="H111" i="1"/>
  <c r="H183" i="1" s="1"/>
  <c r="G111" i="1"/>
  <c r="F111" i="1"/>
  <c r="F183" i="1" s="1"/>
  <c r="E111" i="1"/>
  <c r="D111" i="1"/>
  <c r="I107" i="1"/>
  <c r="I124" i="1" s="1"/>
  <c r="I131" i="1" s="1"/>
  <c r="B132" i="1" s="1"/>
  <c r="H107" i="1"/>
  <c r="H179" i="1" s="1"/>
  <c r="G107" i="1"/>
  <c r="F107" i="1"/>
  <c r="F124" i="1" s="1"/>
  <c r="E107" i="1"/>
  <c r="E124" i="1" s="1"/>
  <c r="D107" i="1"/>
  <c r="D179" i="1" s="1"/>
  <c r="C107" i="1"/>
  <c r="C179" i="1" s="1"/>
  <c r="B107" i="1"/>
  <c r="I92" i="1"/>
  <c r="H92" i="1"/>
  <c r="G92" i="1"/>
  <c r="F92" i="1"/>
  <c r="E92" i="1"/>
  <c r="D92" i="1"/>
  <c r="B92" i="1"/>
  <c r="C89" i="1"/>
  <c r="C92" i="1" s="1"/>
  <c r="B89" i="1"/>
  <c r="D87" i="1"/>
  <c r="I83" i="1"/>
  <c r="H83" i="1"/>
  <c r="G83" i="1"/>
  <c r="F83" i="1"/>
  <c r="E83" i="1"/>
  <c r="D83" i="1"/>
  <c r="B83" i="1"/>
  <c r="D81" i="1"/>
  <c r="D163" i="1" s="1"/>
  <c r="C79" i="1"/>
  <c r="C83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D58" i="1"/>
  <c r="D59" i="1" s="1"/>
  <c r="D60" i="1" s="1"/>
  <c r="C58" i="1"/>
  <c r="C59" i="1" s="1"/>
  <c r="B58" i="1"/>
  <c r="B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H51" i="4" l="1"/>
  <c r="H53" i="4" s="1"/>
  <c r="H55" i="4" s="1"/>
  <c r="D66" i="4"/>
  <c r="B64" i="4"/>
  <c r="B66" i="4" s="1"/>
  <c r="C60" i="4"/>
  <c r="C64" i="4"/>
  <c r="C66" i="4" s="1"/>
  <c r="E64" i="4"/>
  <c r="E66" i="4" s="1"/>
  <c r="F64" i="4"/>
  <c r="F66" i="4" s="1"/>
  <c r="G64" i="4"/>
  <c r="G66" i="4" s="1"/>
  <c r="H64" i="4"/>
  <c r="I64" i="4"/>
  <c r="I66" i="4" s="1"/>
  <c r="B31" i="4"/>
  <c r="C13" i="4"/>
  <c r="G13" i="4"/>
  <c r="H13" i="4"/>
  <c r="E13" i="4"/>
  <c r="I13" i="4"/>
  <c r="I17" i="4"/>
  <c r="C18" i="4"/>
  <c r="C9" i="4"/>
  <c r="C11" i="4"/>
  <c r="C14" i="4" s="1"/>
  <c r="D18" i="4"/>
  <c r="D9" i="4"/>
  <c r="D11" i="4"/>
  <c r="D14" i="4" s="1"/>
  <c r="E18" i="4"/>
  <c r="E9" i="4"/>
  <c r="E11" i="4"/>
  <c r="E14" i="4" s="1"/>
  <c r="F18" i="4"/>
  <c r="F9" i="4"/>
  <c r="F11" i="4"/>
  <c r="F14" i="4" s="1"/>
  <c r="G18" i="4"/>
  <c r="G9" i="4"/>
  <c r="G11" i="4"/>
  <c r="G14" i="4" s="1"/>
  <c r="H18" i="4"/>
  <c r="G4" i="4"/>
  <c r="H8" i="4"/>
  <c r="H9" i="4"/>
  <c r="C7" i="3"/>
  <c r="C6" i="3"/>
  <c r="K12" i="3"/>
  <c r="L11" i="3" s="1"/>
  <c r="M24" i="3"/>
  <c r="M23" i="3" s="1"/>
  <c r="L32" i="3"/>
  <c r="M33" i="3"/>
  <c r="K41" i="3"/>
  <c r="K15" i="3"/>
  <c r="L14" i="3" s="1"/>
  <c r="M28" i="3"/>
  <c r="N29" i="3"/>
  <c r="N28" i="3" s="1"/>
  <c r="D6" i="3"/>
  <c r="E6" i="3"/>
  <c r="E7" i="3"/>
  <c r="C18" i="3"/>
  <c r="N25" i="3"/>
  <c r="N24" i="3" s="1"/>
  <c r="G47" i="3"/>
  <c r="H50" i="3"/>
  <c r="C4" i="3"/>
  <c r="F5" i="3"/>
  <c r="D7" i="3"/>
  <c r="B9" i="3"/>
  <c r="J9" i="3"/>
  <c r="K8" i="3" s="1"/>
  <c r="E10" i="3"/>
  <c r="D12" i="3"/>
  <c r="G13" i="3"/>
  <c r="F15" i="3"/>
  <c r="I16" i="3"/>
  <c r="D18" i="3"/>
  <c r="G19" i="3"/>
  <c r="D35" i="3"/>
  <c r="B37" i="3"/>
  <c r="C40" i="3"/>
  <c r="G44" i="3"/>
  <c r="H47" i="3"/>
  <c r="F49" i="3"/>
  <c r="I50" i="3"/>
  <c r="J50" i="3" s="1"/>
  <c r="G50" i="3"/>
  <c r="C35" i="3"/>
  <c r="F10" i="3"/>
  <c r="E35" i="3"/>
  <c r="I39" i="3"/>
  <c r="D40" i="3"/>
  <c r="G41" i="3"/>
  <c r="H44" i="3"/>
  <c r="I47" i="3"/>
  <c r="J47" i="3" s="1"/>
  <c r="K47" i="3" s="1"/>
  <c r="L47" i="3" s="1"/>
  <c r="M47" i="3" s="1"/>
  <c r="N47" i="3" s="1"/>
  <c r="B50" i="3"/>
  <c r="G5" i="3"/>
  <c r="J3" i="3"/>
  <c r="H5" i="3"/>
  <c r="G10" i="3"/>
  <c r="F12" i="3"/>
  <c r="I13" i="3"/>
  <c r="H15" i="3"/>
  <c r="C16" i="3"/>
  <c r="I19" i="3"/>
  <c r="L28" i="3"/>
  <c r="L27" i="3" s="1"/>
  <c r="K32" i="3"/>
  <c r="K31" i="3" s="1"/>
  <c r="L31" i="3" s="1"/>
  <c r="B39" i="3"/>
  <c r="E40" i="3"/>
  <c r="H41" i="3"/>
  <c r="I44" i="3"/>
  <c r="B47" i="3"/>
  <c r="C50" i="3"/>
  <c r="F19" i="3"/>
  <c r="I5" i="3"/>
  <c r="E9" i="3"/>
  <c r="G12" i="3"/>
  <c r="I15" i="3"/>
  <c r="B19" i="3"/>
  <c r="F24" i="3"/>
  <c r="F26" i="3" s="1"/>
  <c r="G35" i="3"/>
  <c r="C39" i="3"/>
  <c r="H22" i="3"/>
  <c r="H35" i="3"/>
  <c r="I35" i="3"/>
  <c r="B64" i="1"/>
  <c r="B76" i="1" s="1"/>
  <c r="B94" i="1" s="1"/>
  <c r="B96" i="1" s="1"/>
  <c r="B97" i="1" s="1"/>
  <c r="B20" i="1"/>
  <c r="B60" i="1"/>
  <c r="D191" i="1"/>
  <c r="E191" i="1"/>
  <c r="B143" i="1"/>
  <c r="C64" i="1"/>
  <c r="C76" i="1" s="1"/>
  <c r="C94" i="1" s="1"/>
  <c r="C96" i="1" s="1"/>
  <c r="C97" i="1" s="1"/>
  <c r="C20" i="1"/>
  <c r="E164" i="1"/>
  <c r="E165" i="1" s="1"/>
  <c r="D64" i="1"/>
  <c r="D76" i="1" s="1"/>
  <c r="D94" i="1" s="1"/>
  <c r="D96" i="1" s="1"/>
  <c r="D97" i="1" s="1"/>
  <c r="D20" i="1"/>
  <c r="C143" i="1"/>
  <c r="E64" i="1"/>
  <c r="E76" i="1" s="1"/>
  <c r="E94" i="1" s="1"/>
  <c r="E96" i="1" s="1"/>
  <c r="E97" i="1" s="1"/>
  <c r="E20" i="1"/>
  <c r="E60" i="1"/>
  <c r="B124" i="1"/>
  <c r="B131" i="1" s="1"/>
  <c r="D183" i="1"/>
  <c r="F143" i="1"/>
  <c r="F196" i="1"/>
  <c r="F131" i="1"/>
  <c r="C60" i="1"/>
  <c r="F64" i="1"/>
  <c r="F76" i="1" s="1"/>
  <c r="F94" i="1" s="1"/>
  <c r="F96" i="1" s="1"/>
  <c r="F97" i="1" s="1"/>
  <c r="F20" i="1"/>
  <c r="F60" i="1"/>
  <c r="G143" i="1"/>
  <c r="B164" i="1"/>
  <c r="B165" i="1" s="1"/>
  <c r="B163" i="1"/>
  <c r="H164" i="1"/>
  <c r="H165" i="1" s="1"/>
  <c r="I20" i="1"/>
  <c r="I64" i="1"/>
  <c r="I76" i="1" s="1"/>
  <c r="I94" i="1" s="1"/>
  <c r="G196" i="1"/>
  <c r="F164" i="1"/>
  <c r="F165" i="1" s="1"/>
  <c r="G20" i="1"/>
  <c r="G64" i="1"/>
  <c r="G76" i="1" s="1"/>
  <c r="G94" i="1" s="1"/>
  <c r="G96" i="1" s="1"/>
  <c r="G97" i="1" s="1"/>
  <c r="G60" i="1"/>
  <c r="H143" i="1"/>
  <c r="C164" i="1"/>
  <c r="C165" i="1" s="1"/>
  <c r="C163" i="1"/>
  <c r="H64" i="1"/>
  <c r="H76" i="1" s="1"/>
  <c r="H94" i="1" s="1"/>
  <c r="H96" i="1" s="1"/>
  <c r="H20" i="1"/>
  <c r="H60" i="1"/>
  <c r="E196" i="1"/>
  <c r="E131" i="1"/>
  <c r="I143" i="1"/>
  <c r="D164" i="1"/>
  <c r="D165" i="1" s="1"/>
  <c r="G131" i="1"/>
  <c r="G163" i="1"/>
  <c r="G164" i="1" s="1"/>
  <c r="G165" i="1" s="1"/>
  <c r="H124" i="1"/>
  <c r="H163" i="1"/>
  <c r="F179" i="1"/>
  <c r="D194" i="1"/>
  <c r="E194" i="1"/>
  <c r="D185" i="1"/>
  <c r="D193" i="1"/>
  <c r="C111" i="1"/>
  <c r="C183" i="1" s="1"/>
  <c r="C124" i="1"/>
  <c r="D124" i="1"/>
  <c r="D184" i="1"/>
  <c r="D192" i="1"/>
  <c r="E163" i="1"/>
  <c r="F163" i="1"/>
  <c r="H66" i="4" l="1"/>
  <c r="D13" i="4"/>
  <c r="F13" i="4"/>
  <c r="L15" i="3"/>
  <c r="M14" i="3" s="1"/>
  <c r="M27" i="3"/>
  <c r="N27" i="3" s="1"/>
  <c r="L21" i="3"/>
  <c r="N23" i="3"/>
  <c r="M11" i="3"/>
  <c r="L12" i="3"/>
  <c r="I37" i="3"/>
  <c r="J37" i="3" s="1"/>
  <c r="I36" i="3"/>
  <c r="J49" i="3"/>
  <c r="K50" i="3"/>
  <c r="J48" i="3"/>
  <c r="J38" i="3" s="1"/>
  <c r="L41" i="3"/>
  <c r="I7" i="3"/>
  <c r="J6" i="3"/>
  <c r="K5" i="3" s="1"/>
  <c r="I6" i="3"/>
  <c r="J45" i="3"/>
  <c r="J46" i="3" s="1"/>
  <c r="H7" i="3"/>
  <c r="H6" i="3"/>
  <c r="M32" i="3"/>
  <c r="M31" i="3" s="1"/>
  <c r="N33" i="3"/>
  <c r="N32" i="3" s="1"/>
  <c r="G37" i="3"/>
  <c r="G36" i="3"/>
  <c r="K21" i="3"/>
  <c r="J19" i="3"/>
  <c r="J13" i="3"/>
  <c r="J16" i="3"/>
  <c r="J4" i="3"/>
  <c r="J7" i="3"/>
  <c r="F36" i="3"/>
  <c r="E36" i="3"/>
  <c r="E37" i="3"/>
  <c r="H36" i="3"/>
  <c r="H37" i="3"/>
  <c r="G7" i="3"/>
  <c r="G6" i="3"/>
  <c r="F6" i="3"/>
  <c r="F7" i="3"/>
  <c r="C36" i="3"/>
  <c r="C37" i="3"/>
  <c r="D36" i="3"/>
  <c r="D37" i="3"/>
  <c r="L8" i="3"/>
  <c r="K9" i="3"/>
  <c r="J10" i="3"/>
  <c r="C196" i="1"/>
  <c r="C131" i="1"/>
  <c r="H196" i="1"/>
  <c r="H131" i="1"/>
  <c r="H97" i="1"/>
  <c r="I95" i="1"/>
  <c r="G203" i="1"/>
  <c r="G132" i="1"/>
  <c r="I96" i="1"/>
  <c r="I97" i="1" s="1"/>
  <c r="F132" i="1"/>
  <c r="F203" i="1"/>
  <c r="E132" i="1"/>
  <c r="E203" i="1"/>
  <c r="D196" i="1"/>
  <c r="D131" i="1"/>
  <c r="M15" i="3" l="1"/>
  <c r="N14" i="3" s="1"/>
  <c r="N31" i="3"/>
  <c r="M21" i="3"/>
  <c r="J39" i="3"/>
  <c r="J40" i="3"/>
  <c r="L45" i="3"/>
  <c r="L46" i="3" s="1"/>
  <c r="L48" i="3"/>
  <c r="L38" i="3" s="1"/>
  <c r="L22" i="3"/>
  <c r="K45" i="3"/>
  <c r="K46" i="3" s="1"/>
  <c r="K22" i="3"/>
  <c r="K48" i="3"/>
  <c r="K38" i="3" s="1"/>
  <c r="N21" i="3"/>
  <c r="L5" i="3"/>
  <c r="K3" i="3"/>
  <c r="K6" i="3"/>
  <c r="K7" i="3"/>
  <c r="J35" i="3"/>
  <c r="K37" i="3"/>
  <c r="L37" i="3" s="1"/>
  <c r="M37" i="3" s="1"/>
  <c r="N37" i="3" s="1"/>
  <c r="M41" i="3"/>
  <c r="K49" i="3"/>
  <c r="L50" i="3"/>
  <c r="M8" i="3"/>
  <c r="L9" i="3"/>
  <c r="M12" i="3"/>
  <c r="N11" i="3" s="1"/>
  <c r="D132" i="1"/>
  <c r="D203" i="1"/>
  <c r="H203" i="1"/>
  <c r="H132" i="1"/>
  <c r="C132" i="1"/>
  <c r="C203" i="1"/>
  <c r="N15" i="3" l="1"/>
  <c r="N12" i="3"/>
  <c r="L39" i="3"/>
  <c r="L40" i="3"/>
  <c r="L3" i="3"/>
  <c r="L6" i="3"/>
  <c r="M5" i="3" s="1"/>
  <c r="N45" i="3"/>
  <c r="N35" i="3"/>
  <c r="N22" i="3"/>
  <c r="N41" i="3"/>
  <c r="M38" i="3"/>
  <c r="K39" i="3"/>
  <c r="K40" i="3"/>
  <c r="J36" i="3"/>
  <c r="J42" i="3"/>
  <c r="M45" i="3"/>
  <c r="M46" i="3" s="1"/>
  <c r="M48" i="3"/>
  <c r="M35" i="3"/>
  <c r="M22" i="3"/>
  <c r="K35" i="3"/>
  <c r="M9" i="3"/>
  <c r="N8" i="3"/>
  <c r="M50" i="3"/>
  <c r="L49" i="3"/>
  <c r="K19" i="3"/>
  <c r="K4" i="3"/>
  <c r="K16" i="3"/>
  <c r="K13" i="3"/>
  <c r="K10" i="3"/>
  <c r="L35" i="3"/>
  <c r="M3" i="3" l="1"/>
  <c r="M6" i="3"/>
  <c r="M7" i="3"/>
  <c r="N5" i="3"/>
  <c r="M42" i="3"/>
  <c r="M36" i="3"/>
  <c r="N36" i="3"/>
  <c r="L36" i="3"/>
  <c r="L42" i="3"/>
  <c r="N9" i="3"/>
  <c r="N46" i="3"/>
  <c r="M39" i="3"/>
  <c r="M40" i="3"/>
  <c r="N50" i="3"/>
  <c r="M49" i="3"/>
  <c r="J43" i="3"/>
  <c r="J44" i="3"/>
  <c r="L19" i="3"/>
  <c r="L4" i="3"/>
  <c r="L16" i="3"/>
  <c r="L13" i="3"/>
  <c r="L10" i="3"/>
  <c r="K36" i="3"/>
  <c r="K42" i="3"/>
  <c r="L7" i="3"/>
  <c r="M44" i="3" l="1"/>
  <c r="M43" i="3"/>
  <c r="K44" i="3"/>
  <c r="K43" i="3"/>
  <c r="N6" i="3"/>
  <c r="N3" i="3"/>
  <c r="L44" i="3"/>
  <c r="L43" i="3"/>
  <c r="N49" i="3"/>
  <c r="N48" i="3"/>
  <c r="N38" i="3" s="1"/>
  <c r="M19" i="3"/>
  <c r="M4" i="3"/>
  <c r="M13" i="3"/>
  <c r="M16" i="3"/>
  <c r="M10" i="3"/>
  <c r="N4" i="3" l="1"/>
  <c r="N19" i="3"/>
  <c r="N16" i="3"/>
  <c r="N13" i="3"/>
  <c r="N10" i="3"/>
  <c r="N40" i="3"/>
  <c r="N39" i="3"/>
  <c r="N42" i="3"/>
  <c r="N7" i="3"/>
  <c r="N43" i="3" l="1"/>
  <c r="N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AEA147D-F31B-4483-AC5E-B593ED3E219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<sst xmlns="http://schemas.openxmlformats.org/spreadsheetml/2006/main" count="386" uniqueCount="210">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</sst>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.00_-;\-* #,##0.00_-;_-* &quot;-&quot;??_-;_-@_-"/>
    <numFmt numFmtId="171" formatCode="_(* #,##0.00000_);_(* \(#,##0.00000\);_(* &quot;-&quot;??_);_(@_)"/>
    <numFmt numFmtId="172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70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71" fontId="0" fillId="0" borderId="0" xfId="1" applyNumberFormat="1" applyFont="1"/>
    <xf numFmtId="172" fontId="13" fillId="0" borderId="0" xfId="2" applyNumberFormat="1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2" fillId="0" borderId="1" xfId="0" applyFont="1" applyBorder="1"/>
    <xf numFmtId="0" fontId="2" fillId="0" borderId="2" xfId="0" applyFont="1" applyBorder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5" borderId="0" xfId="5" applyNumberFormat="1" applyFont="1"/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6" fontId="13" fillId="0" borderId="0" xfId="2" applyNumberFormat="1" applyFont="1" applyAlignment="1">
      <alignment horizontal="right"/>
    </xf>
    <xf numFmtId="165" fontId="0" fillId="0" borderId="0" xfId="0" applyNumberFormat="1"/>
    <xf numFmtId="9" fontId="12" fillId="0" borderId="0" xfId="2" applyFont="1"/>
    <xf numFmtId="9" fontId="11" fillId="0" borderId="0" xfId="2" applyFont="1"/>
    <xf numFmtId="2" fontId="2" fillId="0" borderId="0" xfId="0" applyNumberFormat="1" applyFont="1"/>
    <xf numFmtId="9" fontId="2" fillId="0" borderId="0" xfId="2" applyFont="1"/>
    <xf numFmtId="10" fontId="0" fillId="0" borderId="0" xfId="2" applyNumberFormat="1" applyFont="1"/>
    <xf numFmtId="165" fontId="2" fillId="0" borderId="4" xfId="2" applyNumberFormat="1" applyFont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A6C72A0D-E178-43B6-839B-A73452A61E6F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1710155371_Task%209%20-%20Building%20Operational%20Forecast%20Model.xlsx" TargetMode="External"/><Relationship Id="rId1" Type="http://schemas.openxmlformats.org/officeDocument/2006/relationships/externalLinkPath" Target="/Users/Student/Downloads/1710155371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dent\Downloads\18031718797632528_1709895789_Task%2010%20-%20Linking%20Balance%20sheet.xlsx" TargetMode="External"/><Relationship Id="rId1" Type="http://schemas.openxmlformats.org/officeDocument/2006/relationships/externalLinkPath" Target="/Users/Student/Downloads/18031718797632528_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24">
          <cell r="B124">
            <v>28701</v>
          </cell>
          <cell r="C124">
            <v>30507</v>
          </cell>
          <cell r="D124">
            <v>32233</v>
          </cell>
          <cell r="E124">
            <v>34485</v>
          </cell>
          <cell r="F124">
            <v>37218</v>
          </cell>
          <cell r="G124">
            <v>35568</v>
          </cell>
          <cell r="H124">
            <v>42293</v>
          </cell>
          <cell r="I124">
            <v>44436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42">
          <cell r="B142">
            <v>4233</v>
          </cell>
          <cell r="C142">
            <v>4642</v>
          </cell>
          <cell r="D142">
            <v>4945</v>
          </cell>
          <cell r="E142">
            <v>4379</v>
          </cell>
          <cell r="F142">
            <v>4850</v>
          </cell>
          <cell r="G142">
            <v>2976</v>
          </cell>
          <cell r="H142">
            <v>6923</v>
          </cell>
          <cell r="I142">
            <v>6856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53">
          <cell r="B153">
            <v>3011</v>
          </cell>
          <cell r="C153">
            <v>3520</v>
          </cell>
          <cell r="D153">
            <v>3989</v>
          </cell>
          <cell r="E153">
            <v>4454</v>
          </cell>
          <cell r="F153">
            <v>4744</v>
          </cell>
          <cell r="G153">
            <v>4866</v>
          </cell>
          <cell r="H153">
            <v>4904</v>
          </cell>
          <cell r="I153">
            <v>4791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64">
          <cell r="B164">
            <v>963</v>
          </cell>
          <cell r="C164">
            <v>1143</v>
          </cell>
          <cell r="D164">
            <v>1092</v>
          </cell>
          <cell r="E164">
            <v>1028</v>
          </cell>
          <cell r="F164">
            <v>1119</v>
          </cell>
          <cell r="G164">
            <v>1086</v>
          </cell>
          <cell r="H164">
            <v>695</v>
          </cell>
          <cell r="I164">
            <v>758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72">
          <cell r="B172">
            <v>513</v>
          </cell>
          <cell r="C172">
            <v>538</v>
          </cell>
          <cell r="D172">
            <v>587</v>
          </cell>
          <cell r="E172">
            <v>604</v>
          </cell>
          <cell r="F172">
            <v>558</v>
          </cell>
          <cell r="G172">
            <v>584</v>
          </cell>
          <cell r="H172">
            <v>577</v>
          </cell>
          <cell r="I172">
            <v>561</v>
          </cell>
        </row>
        <row r="180">
          <cell r="B180" t="str">
            <v>-</v>
          </cell>
          <cell r="C180">
            <v>9.3228309428638606E-2</v>
          </cell>
          <cell r="D180">
            <v>4.1402301322722872E-2</v>
          </cell>
          <cell r="E180">
            <v>-3.7381247418422137E-2</v>
          </cell>
          <cell r="F180">
            <v>7.7558463848959452E-2</v>
          </cell>
          <cell r="G180">
            <v>-7.1279243404678949E-2</v>
          </cell>
          <cell r="H180">
            <v>0.24815092721620752</v>
          </cell>
          <cell r="I180">
            <v>0.05</v>
          </cell>
        </row>
        <row r="182">
          <cell r="B182" t="str">
            <v>-</v>
          </cell>
          <cell r="C182">
            <v>-0.12742718446601942</v>
          </cell>
          <cell r="D182">
            <v>-0.10152990264255911</v>
          </cell>
          <cell r="E182">
            <v>-7.8947368421052627E-2</v>
          </cell>
          <cell r="F182">
            <v>3.3613445378151263E-3</v>
          </cell>
          <cell r="G182">
            <v>-0.135678391959799</v>
          </cell>
          <cell r="H182">
            <v>-1.7441860465116279E-2</v>
          </cell>
          <cell r="I182">
            <v>0.25</v>
          </cell>
        </row>
        <row r="184">
          <cell r="B184" t="str">
            <v>-</v>
          </cell>
          <cell r="C184">
            <v>3.4871358707208165E-2</v>
          </cell>
          <cell r="D184">
            <v>2.6299568522703924E-2</v>
          </cell>
          <cell r="E184">
            <v>0.17617617617617617</v>
          </cell>
          <cell r="F184">
            <v>7.114893617021277E-2</v>
          </cell>
          <cell r="G184">
            <v>-6.3721595423486418E-2</v>
          </cell>
          <cell r="H184">
            <v>0.18295994568906992</v>
          </cell>
          <cell r="I184">
            <v>0.09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  <cell r="H2">
            <v>44538</v>
          </cell>
          <cell r="I2">
            <v>46710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2.46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1768.8</v>
          </cell>
          <cell r="C18">
            <v>1742</v>
          </cell>
          <cell r="D18">
            <v>1692</v>
          </cell>
          <cell r="E18">
            <v>1659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C35">
            <v>2422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5">
          <cell r="B45">
            <v>6332</v>
          </cell>
          <cell r="C45">
            <v>5358</v>
          </cell>
          <cell r="D45">
            <v>5474</v>
          </cell>
          <cell r="E45">
            <v>6040</v>
          </cell>
          <cell r="F45">
            <v>7866</v>
          </cell>
          <cell r="G45">
            <v>8284</v>
          </cell>
          <cell r="H45">
            <v>9674</v>
          </cell>
          <cell r="I45">
            <v>10730</v>
          </cell>
        </row>
        <row r="46">
          <cell r="B46">
            <v>1079</v>
          </cell>
          <cell r="C46">
            <v>1993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0">
          <cell r="H50">
            <v>0</v>
          </cell>
          <cell r="I50">
            <v>0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8638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3979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58">
          <cell r="B58">
            <v>12707</v>
          </cell>
          <cell r="C58">
            <v>12258</v>
          </cell>
          <cell r="D58">
            <v>12407</v>
          </cell>
          <cell r="E58">
            <v>9812</v>
          </cell>
          <cell r="F58">
            <v>9040</v>
          </cell>
          <cell r="G58">
            <v>8055</v>
          </cell>
          <cell r="H58">
            <v>12767</v>
          </cell>
          <cell r="I58">
            <v>15281</v>
          </cell>
        </row>
        <row r="59">
          <cell r="B59">
            <v>21597</v>
          </cell>
          <cell r="C59">
            <v>21379</v>
          </cell>
          <cell r="D59">
            <v>23259</v>
          </cell>
          <cell r="E59">
            <v>22536</v>
          </cell>
          <cell r="F59">
            <v>23717</v>
          </cell>
          <cell r="G59">
            <v>31342</v>
          </cell>
          <cell r="H59">
            <v>37740</v>
          </cell>
          <cell r="I59">
            <v>40321</v>
          </cell>
        </row>
        <row r="74">
          <cell r="B74">
            <v>-144</v>
          </cell>
          <cell r="C74">
            <v>-161</v>
          </cell>
          <cell r="D74">
            <v>-120</v>
          </cell>
          <cell r="E74">
            <v>35</v>
          </cell>
          <cell r="F74">
            <v>-203</v>
          </cell>
          <cell r="G74">
            <v>-654</v>
          </cell>
          <cell r="H74">
            <v>-182</v>
          </cell>
          <cell r="I74">
            <v>-845</v>
          </cell>
        </row>
        <row r="78">
          <cell r="B78">
            <v>-4936</v>
          </cell>
        </row>
        <row r="79">
          <cell r="B79">
            <v>3655</v>
          </cell>
        </row>
        <row r="80">
          <cell r="B80">
            <v>2216</v>
          </cell>
        </row>
        <row r="81">
          <cell r="B81">
            <v>-963</v>
          </cell>
          <cell r="C81">
            <v>-1143</v>
          </cell>
          <cell r="D81">
            <v>-1092</v>
          </cell>
          <cell r="E81">
            <v>-1028</v>
          </cell>
          <cell r="F81">
            <v>-1119</v>
          </cell>
          <cell r="G81">
            <v>-1086</v>
          </cell>
          <cell r="H81">
            <v>-695</v>
          </cell>
          <cell r="I81">
            <v>-758</v>
          </cell>
        </row>
        <row r="82">
          <cell r="B82">
            <v>-147</v>
          </cell>
          <cell r="C82">
            <v>6</v>
          </cell>
          <cell r="D82">
            <v>-34</v>
          </cell>
          <cell r="E82">
            <v>-22</v>
          </cell>
          <cell r="F82">
            <v>5</v>
          </cell>
          <cell r="G82">
            <v>31</v>
          </cell>
          <cell r="H82">
            <v>171</v>
          </cell>
          <cell r="I82">
            <v>-19</v>
          </cell>
        </row>
        <row r="86">
          <cell r="B86">
            <v>-7</v>
          </cell>
          <cell r="C86">
            <v>-106</v>
          </cell>
          <cell r="D86">
            <v>-44</v>
          </cell>
          <cell r="E86">
            <v>13</v>
          </cell>
          <cell r="F86">
            <v>-325</v>
          </cell>
          <cell r="G86">
            <v>49</v>
          </cell>
          <cell r="H86">
            <v>-52</v>
          </cell>
          <cell r="I86">
            <v>15</v>
          </cell>
        </row>
        <row r="87">
          <cell r="B87">
            <v>-63</v>
          </cell>
          <cell r="C87">
            <v>-67</v>
          </cell>
          <cell r="D87">
            <v>298</v>
          </cell>
          <cell r="H87">
            <v>-197</v>
          </cell>
          <cell r="I87">
            <v>0</v>
          </cell>
        </row>
        <row r="88">
          <cell r="B88">
            <v>-19</v>
          </cell>
          <cell r="C88">
            <v>-7</v>
          </cell>
          <cell r="D88">
            <v>-17</v>
          </cell>
          <cell r="E88">
            <v>733</v>
          </cell>
          <cell r="F88">
            <v>700</v>
          </cell>
          <cell r="G88">
            <v>885</v>
          </cell>
          <cell r="H88">
            <v>1172</v>
          </cell>
          <cell r="I88">
            <v>1151</v>
          </cell>
        </row>
        <row r="89">
          <cell r="B89">
            <v>732</v>
          </cell>
          <cell r="C89">
            <v>788</v>
          </cell>
          <cell r="D89">
            <v>489</v>
          </cell>
          <cell r="E89">
            <v>-4254</v>
          </cell>
          <cell r="F89">
            <v>-4286</v>
          </cell>
          <cell r="G89">
            <v>-3067</v>
          </cell>
          <cell r="H89">
            <v>-608</v>
          </cell>
          <cell r="I89">
            <v>-4014</v>
          </cell>
        </row>
        <row r="90">
          <cell r="B90">
            <v>-2534</v>
          </cell>
          <cell r="C90">
            <v>-3238</v>
          </cell>
          <cell r="D90">
            <v>-3223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  <row r="91">
          <cell r="B91">
            <v>-899</v>
          </cell>
          <cell r="C91">
            <v>-1022</v>
          </cell>
          <cell r="D91">
            <v>-1133</v>
          </cell>
          <cell r="E91">
            <v>-84</v>
          </cell>
          <cell r="F91">
            <v>-50</v>
          </cell>
          <cell r="G91">
            <v>-58</v>
          </cell>
          <cell r="H91">
            <v>-136</v>
          </cell>
          <cell r="I91">
            <v>-151</v>
          </cell>
        </row>
        <row r="93">
          <cell r="B93">
            <v>-83</v>
          </cell>
          <cell r="C93">
            <v>-105</v>
          </cell>
          <cell r="D93">
            <v>-20</v>
          </cell>
          <cell r="E93">
            <v>45</v>
          </cell>
          <cell r="F93">
            <v>-129</v>
          </cell>
          <cell r="G93">
            <v>-66</v>
          </cell>
          <cell r="H93">
            <v>143</v>
          </cell>
          <cell r="I93">
            <v>-143</v>
          </cell>
        </row>
        <row r="95">
          <cell r="B95">
            <v>2220</v>
          </cell>
          <cell r="C95">
            <v>3852</v>
          </cell>
          <cell r="D95">
            <v>3138</v>
          </cell>
          <cell r="E95">
            <v>3808</v>
          </cell>
          <cell r="F95">
            <v>4249</v>
          </cell>
          <cell r="G95">
            <v>4466</v>
          </cell>
          <cell r="H95">
            <v>8348</v>
          </cell>
          <cell r="I95">
            <v>9889</v>
          </cell>
        </row>
        <row r="96">
          <cell r="B96">
            <v>3852</v>
          </cell>
          <cell r="C96">
            <v>3138</v>
          </cell>
          <cell r="D96">
            <v>3808</v>
          </cell>
          <cell r="E96">
            <v>4249</v>
          </cell>
          <cell r="F96">
            <v>4466</v>
          </cell>
          <cell r="G96">
            <v>8348</v>
          </cell>
          <cell r="H96">
            <v>9889</v>
          </cell>
          <cell r="I96">
            <v>8574</v>
          </cell>
        </row>
        <row r="101">
          <cell r="B101">
            <v>1262</v>
          </cell>
          <cell r="C101">
            <v>748</v>
          </cell>
          <cell r="D101">
            <v>703</v>
          </cell>
          <cell r="E101">
            <v>529</v>
          </cell>
          <cell r="F101">
            <v>757</v>
          </cell>
          <cell r="G101">
            <v>1028</v>
          </cell>
          <cell r="H101">
            <v>1177</v>
          </cell>
          <cell r="I101">
            <v>1231</v>
          </cell>
        </row>
        <row r="107">
          <cell r="A107" t="str">
            <v>North America</v>
          </cell>
        </row>
        <row r="111">
          <cell r="B111">
            <v>7126</v>
          </cell>
          <cell r="C111">
            <v>7315</v>
          </cell>
          <cell r="D111">
            <v>7698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</sheetData>
      <sheetData sheetId="2">
        <row r="5">
          <cell r="B5">
            <v>4746</v>
          </cell>
          <cell r="C5">
            <v>5180</v>
          </cell>
          <cell r="D5">
            <v>5532</v>
          </cell>
          <cell r="E5">
            <v>4983</v>
          </cell>
          <cell r="F5">
            <v>5408</v>
          </cell>
          <cell r="G5">
            <v>3560</v>
          </cell>
          <cell r="H5">
            <v>7500</v>
          </cell>
          <cell r="I5">
            <v>7417</v>
          </cell>
        </row>
        <row r="8">
          <cell r="B8">
            <v>513</v>
          </cell>
          <cell r="C8">
            <v>538</v>
          </cell>
          <cell r="D8">
            <v>587</v>
          </cell>
          <cell r="E8">
            <v>604</v>
          </cell>
          <cell r="F8">
            <v>558</v>
          </cell>
          <cell r="G8">
            <v>584</v>
          </cell>
          <cell r="H8">
            <v>577</v>
          </cell>
          <cell r="I8">
            <v>561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8" t="s">
        <v>201</v>
      </c>
    </row>
    <row r="3" spans="1:1" x14ac:dyDescent="0.3">
      <c r="A3" s="18" t="s">
        <v>199</v>
      </c>
    </row>
    <row r="4" spans="1:1" x14ac:dyDescent="0.3">
      <c r="A4" s="12" t="s">
        <v>200</v>
      </c>
    </row>
    <row r="5" spans="1:1" x14ac:dyDescent="0.3">
      <c r="A5" s="18"/>
    </row>
    <row r="6" spans="1:1" x14ac:dyDescent="0.3">
      <c r="A6" s="18"/>
    </row>
    <row r="9" spans="1:1" x14ac:dyDescent="0.3">
      <c r="A9" s="13"/>
    </row>
    <row r="10" spans="1:1" x14ac:dyDescent="0.3">
      <c r="A10" s="13"/>
    </row>
    <row r="11" spans="1:1" x14ac:dyDescent="0.3">
      <c r="A1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1" activePane="bottomLeft" state="frozen"/>
      <selection pane="bottomLeft" activeCell="D3" sqref="D3"/>
    </sheetView>
  </sheetViews>
  <sheetFormatPr defaultRowHeight="14.4" x14ac:dyDescent="0.3"/>
  <cols>
    <col min="1" max="1" width="73.33203125" style="41" customWidth="1"/>
    <col min="2" max="7" width="9" style="41" bestFit="1" customWidth="1"/>
    <col min="8" max="8" width="10.44140625" style="41" bestFit="1" customWidth="1"/>
    <col min="9" max="9" width="10.6640625" style="41" bestFit="1" customWidth="1"/>
    <col min="10" max="16384" width="8.88671875" style="41"/>
  </cols>
  <sheetData>
    <row r="1" spans="1:9" ht="60" customHeight="1" x14ac:dyDescent="0.3">
      <c r="A1" s="52" t="s">
        <v>116</v>
      </c>
      <c r="B1" s="53">
        <f t="shared" ref="B1:G1" si="0">+C1-1</f>
        <v>2015</v>
      </c>
      <c r="C1" s="53">
        <f t="shared" si="0"/>
        <v>2016</v>
      </c>
      <c r="D1" s="53">
        <f t="shared" si="0"/>
        <v>2017</v>
      </c>
      <c r="E1" s="53">
        <f t="shared" si="0"/>
        <v>2018</v>
      </c>
      <c r="F1" s="53">
        <f t="shared" si="0"/>
        <v>2019</v>
      </c>
      <c r="G1" s="53">
        <f t="shared" si="0"/>
        <v>2020</v>
      </c>
      <c r="H1" s="53">
        <f>+I1-1</f>
        <v>2021</v>
      </c>
      <c r="I1" s="53">
        <v>2022</v>
      </c>
    </row>
    <row r="2" spans="1:9" x14ac:dyDescent="0.3">
      <c r="A2" s="41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56" t="s">
        <v>28</v>
      </c>
      <c r="B3" s="15">
        <v>16534</v>
      </c>
      <c r="C3" s="15">
        <v>17405</v>
      </c>
      <c r="D3" s="15">
        <v>19038</v>
      </c>
      <c r="E3" s="15">
        <v>20441</v>
      </c>
      <c r="F3" s="15">
        <v>21643</v>
      </c>
      <c r="G3" s="15">
        <v>21162</v>
      </c>
      <c r="H3" s="15">
        <v>24576</v>
      </c>
      <c r="I3" s="15">
        <v>25231</v>
      </c>
    </row>
    <row r="4" spans="1:9" s="42" customFormat="1" x14ac:dyDescent="0.3">
      <c r="A4" s="42" t="s">
        <v>4</v>
      </c>
      <c r="B4" s="8">
        <f t="shared" ref="B4:H4" si="1">+B2-B3</f>
        <v>14067</v>
      </c>
      <c r="C4" s="8">
        <f t="shared" si="1"/>
        <v>14971</v>
      </c>
      <c r="D4" s="8">
        <f t="shared" si="1"/>
        <v>15312</v>
      </c>
      <c r="E4" s="8">
        <f t="shared" si="1"/>
        <v>15956</v>
      </c>
      <c r="F4" s="8">
        <f t="shared" si="1"/>
        <v>17474</v>
      </c>
      <c r="G4" s="8">
        <f t="shared" si="1"/>
        <v>16241</v>
      </c>
      <c r="H4" s="8">
        <f t="shared" si="1"/>
        <v>19962</v>
      </c>
      <c r="I4" s="8">
        <f>+I2-I3</f>
        <v>21479</v>
      </c>
    </row>
    <row r="5" spans="1:9" x14ac:dyDescent="0.3">
      <c r="A5" s="48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48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55" t="s">
        <v>23</v>
      </c>
      <c r="B7" s="14">
        <f t="shared" ref="B7:H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>+I5+I6</f>
        <v>14804</v>
      </c>
    </row>
    <row r="8" spans="1:9" x14ac:dyDescent="0.3">
      <c r="A8" s="43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43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43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45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42" t="s">
        <v>8</v>
      </c>
    </row>
    <row r="14" spans="1:9" x14ac:dyDescent="0.3">
      <c r="A14" s="43" t="s">
        <v>6</v>
      </c>
      <c r="B14" s="41">
        <v>1.9</v>
      </c>
      <c r="C14" s="41">
        <v>2.21</v>
      </c>
      <c r="D14" s="41">
        <v>2.56</v>
      </c>
      <c r="E14" s="41">
        <v>1.19</v>
      </c>
      <c r="F14" s="41">
        <v>2.5499999999999998</v>
      </c>
      <c r="G14" s="41">
        <v>1.63</v>
      </c>
      <c r="H14" s="41">
        <v>3.64</v>
      </c>
      <c r="I14" s="41">
        <v>3.83</v>
      </c>
    </row>
    <row r="15" spans="1:9" x14ac:dyDescent="0.3">
      <c r="A15" s="43" t="s">
        <v>7</v>
      </c>
      <c r="B15" s="41">
        <v>1.85</v>
      </c>
      <c r="C15" s="41">
        <v>2.16</v>
      </c>
      <c r="D15" s="41">
        <v>2.5099999999999998</v>
      </c>
      <c r="E15" s="41">
        <v>1.17</v>
      </c>
      <c r="F15" s="41">
        <v>2.46</v>
      </c>
      <c r="G15" s="41">
        <v>1.6</v>
      </c>
      <c r="H15" s="41">
        <v>3.56</v>
      </c>
      <c r="I15" s="41">
        <v>3.75</v>
      </c>
    </row>
    <row r="16" spans="1:9" x14ac:dyDescent="0.3">
      <c r="A16" s="42" t="s">
        <v>9</v>
      </c>
    </row>
    <row r="17" spans="1:9" x14ac:dyDescent="0.3">
      <c r="A17" s="43" t="s">
        <v>6</v>
      </c>
      <c r="B17" s="41">
        <v>1723.5</v>
      </c>
      <c r="C17" s="41">
        <v>1697.9</v>
      </c>
      <c r="D17" s="41">
        <v>1657.8</v>
      </c>
      <c r="E17" s="41">
        <v>1623.8</v>
      </c>
      <c r="F17" s="41">
        <v>1579.7</v>
      </c>
      <c r="G17" s="46">
        <v>1558.8</v>
      </c>
      <c r="H17" s="46">
        <v>1573</v>
      </c>
      <c r="I17" s="46">
        <v>1578.8</v>
      </c>
    </row>
    <row r="18" spans="1:9" x14ac:dyDescent="0.3">
      <c r="A18" s="43" t="s">
        <v>7</v>
      </c>
      <c r="B18" s="41">
        <v>1768.8</v>
      </c>
      <c r="C18" s="41">
        <v>1742</v>
      </c>
      <c r="D18" s="41">
        <v>1692</v>
      </c>
      <c r="E18" s="41">
        <v>1659</v>
      </c>
      <c r="F18" s="41">
        <v>1618.4</v>
      </c>
      <c r="G18" s="46">
        <v>1591.6</v>
      </c>
      <c r="H18" s="46">
        <v>1609.4</v>
      </c>
      <c r="I18" s="46">
        <v>1610.8</v>
      </c>
    </row>
    <row r="20" spans="1:9" s="49" customFormat="1" x14ac:dyDescent="0.3">
      <c r="A20" s="49" t="s">
        <v>2</v>
      </c>
      <c r="B20" s="50">
        <f t="shared" ref="B20:H20" si="5">+ROUND(((B12/B18)-B15),2)</f>
        <v>0</v>
      </c>
      <c r="C20" s="50">
        <f t="shared" si="5"/>
        <v>0</v>
      </c>
      <c r="D20" s="50">
        <f t="shared" si="5"/>
        <v>0</v>
      </c>
      <c r="E20" s="50">
        <f t="shared" si="5"/>
        <v>0</v>
      </c>
      <c r="F20" s="50">
        <f t="shared" si="5"/>
        <v>0.03</v>
      </c>
      <c r="G20" s="50">
        <f t="shared" si="5"/>
        <v>0</v>
      </c>
      <c r="H20" s="50">
        <f t="shared" si="5"/>
        <v>0</v>
      </c>
      <c r="I20" s="50">
        <f>+ROUND(((I12/I18)-I15),2)</f>
        <v>0</v>
      </c>
    </row>
    <row r="22" spans="1:9" x14ac:dyDescent="0.3">
      <c r="A22" s="51" t="s">
        <v>0</v>
      </c>
      <c r="B22" s="51"/>
      <c r="C22" s="51"/>
      <c r="D22" s="51"/>
      <c r="E22" s="51"/>
      <c r="F22" s="51"/>
      <c r="G22" s="51"/>
      <c r="H22" s="51"/>
      <c r="I22" s="51"/>
    </row>
    <row r="23" spans="1:9" x14ac:dyDescent="0.3">
      <c r="A23" s="42" t="s">
        <v>30</v>
      </c>
    </row>
    <row r="24" spans="1:9" x14ac:dyDescent="0.3">
      <c r="A24" s="47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8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48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48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48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48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43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43" t="s">
        <v>38</v>
      </c>
      <c r="B32" s="3"/>
      <c r="C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43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43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43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45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42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3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8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48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48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48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48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48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43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43" t="s">
        <v>50</v>
      </c>
      <c r="B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43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43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8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43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48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54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54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54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54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54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45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49" customFormat="1" ht="15" thickTop="1" x14ac:dyDescent="0.3">
      <c r="A60" s="49" t="s">
        <v>3</v>
      </c>
      <c r="B60" s="50">
        <f t="shared" ref="B60:H60" si="11">+B59-B36</f>
        <v>0</v>
      </c>
      <c r="C60" s="50">
        <f t="shared" si="11"/>
        <v>0</v>
      </c>
      <c r="D60" s="50">
        <f t="shared" si="11"/>
        <v>0</v>
      </c>
      <c r="E60" s="50">
        <f t="shared" si="11"/>
        <v>0</v>
      </c>
      <c r="F60" s="50">
        <f t="shared" si="11"/>
        <v>0</v>
      </c>
      <c r="G60" s="50">
        <f t="shared" si="11"/>
        <v>0</v>
      </c>
      <c r="H60" s="50">
        <f t="shared" si="11"/>
        <v>0</v>
      </c>
      <c r="I60" s="50">
        <f>+I59-I36</f>
        <v>0</v>
      </c>
    </row>
    <row r="61" spans="1:9" x14ac:dyDescent="0.3">
      <c r="A61" s="51" t="s">
        <v>1</v>
      </c>
      <c r="B61" s="51"/>
      <c r="C61" s="51"/>
      <c r="D61" s="51"/>
      <c r="E61" s="51"/>
      <c r="F61" s="51"/>
      <c r="G61" s="51"/>
      <c r="H61" s="51"/>
      <c r="I61" s="51"/>
    </row>
    <row r="62" spans="1:9" x14ac:dyDescent="0.3">
      <c r="A62" s="41" t="s">
        <v>15</v>
      </c>
    </row>
    <row r="63" spans="1:9" x14ac:dyDescent="0.3">
      <c r="A63" s="42" t="s">
        <v>63</v>
      </c>
    </row>
    <row r="64" spans="1:9" s="42" customFormat="1" x14ac:dyDescent="0.3">
      <c r="A64" s="47" t="s">
        <v>64</v>
      </c>
      <c r="B64" s="8">
        <f t="shared" ref="B64:G64" si="12">+B12</f>
        <v>3273</v>
      </c>
      <c r="C64" s="8">
        <f t="shared" si="12"/>
        <v>3760</v>
      </c>
      <c r="D64" s="8">
        <f t="shared" si="12"/>
        <v>4240</v>
      </c>
      <c r="E64" s="8">
        <f t="shared" si="12"/>
        <v>1933</v>
      </c>
      <c r="F64" s="8">
        <f t="shared" si="12"/>
        <v>4029</v>
      </c>
      <c r="G64" s="8">
        <f t="shared" si="12"/>
        <v>2539</v>
      </c>
      <c r="H64" s="8">
        <f>+H12</f>
        <v>5727</v>
      </c>
      <c r="I64" s="8">
        <f>+I12</f>
        <v>6046</v>
      </c>
    </row>
    <row r="65" spans="1:9" s="42" customFormat="1" x14ac:dyDescent="0.3">
      <c r="A65" s="43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48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48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48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48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48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43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48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48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48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48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57" t="s">
        <v>74</v>
      </c>
      <c r="B76" s="16">
        <f t="shared" ref="B76:H76" si="13">+SUM(B64:B75)</f>
        <v>4680</v>
      </c>
      <c r="C76" s="16">
        <f t="shared" si="13"/>
        <v>3096</v>
      </c>
      <c r="D76" s="16">
        <f t="shared" si="13"/>
        <v>3846</v>
      </c>
      <c r="E76" s="16">
        <f t="shared" si="13"/>
        <v>4955</v>
      </c>
      <c r="F76" s="16">
        <f t="shared" si="13"/>
        <v>5903</v>
      </c>
      <c r="G76" s="16">
        <f t="shared" si="13"/>
        <v>2485</v>
      </c>
      <c r="H76" s="16">
        <f t="shared" si="13"/>
        <v>6657</v>
      </c>
      <c r="I76" s="16">
        <f>+SUM(I64:I75)</f>
        <v>5188</v>
      </c>
    </row>
    <row r="77" spans="1:9" x14ac:dyDescent="0.3">
      <c r="A77" s="42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43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43" t="s">
        <v>77</v>
      </c>
      <c r="B79" s="3">
        <v>3655</v>
      </c>
      <c r="C79" s="3">
        <f>(2924+2386)+150</f>
        <v>5460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43" t="s">
        <v>78</v>
      </c>
      <c r="B80" s="3">
        <v>2216</v>
      </c>
      <c r="C80" s="3">
        <v>10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43" t="s">
        <v>14</v>
      </c>
      <c r="B81" s="3">
        <v>-963</v>
      </c>
      <c r="C81" s="3">
        <v>-1143</v>
      </c>
      <c r="D81" s="3">
        <f>-1105+13</f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43" t="s">
        <v>79</v>
      </c>
      <c r="B82" s="3">
        <v>-147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58" t="s">
        <v>80</v>
      </c>
      <c r="B83" s="16">
        <f t="shared" ref="B83:H83" si="14">+SUM(B78:B82)</f>
        <v>-175</v>
      </c>
      <c r="C83" s="16">
        <f t="shared" si="14"/>
        <v>-1034</v>
      </c>
      <c r="D83" s="16">
        <f t="shared" si="14"/>
        <v>-1008</v>
      </c>
      <c r="E83" s="16">
        <f t="shared" si="14"/>
        <v>276</v>
      </c>
      <c r="F83" s="16">
        <f t="shared" si="14"/>
        <v>-264</v>
      </c>
      <c r="G83" s="16">
        <f t="shared" si="14"/>
        <v>-1028</v>
      </c>
      <c r="H83" s="16">
        <f t="shared" si="14"/>
        <v>-3800</v>
      </c>
      <c r="I83" s="16">
        <f>+SUM(I78:I82)</f>
        <v>-1524</v>
      </c>
    </row>
    <row r="84" spans="1:9" x14ac:dyDescent="0.3">
      <c r="A84" s="42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43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43" t="s">
        <v>83</v>
      </c>
      <c r="B86" s="3">
        <v>-7</v>
      </c>
      <c r="C86" s="3">
        <v>-106</v>
      </c>
      <c r="D86" s="3">
        <v>-44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43" t="s">
        <v>84</v>
      </c>
      <c r="B87" s="3">
        <v>-63</v>
      </c>
      <c r="C87" s="3">
        <v>-67</v>
      </c>
      <c r="D87" s="3">
        <f>327-29</f>
        <v>298</v>
      </c>
      <c r="E87" s="3"/>
      <c r="F87" s="3"/>
      <c r="H87" s="3">
        <v>-197</v>
      </c>
      <c r="I87" s="3">
        <v>0</v>
      </c>
    </row>
    <row r="88" spans="1:9" x14ac:dyDescent="0.3">
      <c r="A88" s="43" t="s">
        <v>85</v>
      </c>
      <c r="B88" s="3">
        <v>-19</v>
      </c>
      <c r="C88" s="3">
        <v>-7</v>
      </c>
      <c r="D88" s="3">
        <v>-17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43" t="s">
        <v>16</v>
      </c>
      <c r="B89" s="3">
        <f>514+218</f>
        <v>732</v>
      </c>
      <c r="C89" s="3">
        <f>281+507</f>
        <v>788</v>
      </c>
      <c r="D89" s="3">
        <v>489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43" t="s">
        <v>86</v>
      </c>
      <c r="B90" s="3">
        <v>-2534</v>
      </c>
      <c r="C90" s="3">
        <v>-3238</v>
      </c>
      <c r="D90" s="3">
        <v>-3223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43" t="s">
        <v>87</v>
      </c>
      <c r="B91" s="3">
        <v>-899</v>
      </c>
      <c r="C91" s="3">
        <v>-1022</v>
      </c>
      <c r="D91" s="3">
        <v>-1133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58" t="s">
        <v>88</v>
      </c>
      <c r="B92" s="16">
        <f t="shared" ref="B92:H92" si="15">+SUM(B85:B91)</f>
        <v>-2790</v>
      </c>
      <c r="C92" s="16">
        <f t="shared" si="15"/>
        <v>-2671</v>
      </c>
      <c r="D92" s="16">
        <f t="shared" si="15"/>
        <v>-2148</v>
      </c>
      <c r="E92" s="16">
        <f t="shared" si="15"/>
        <v>-4835</v>
      </c>
      <c r="F92" s="16">
        <f t="shared" si="15"/>
        <v>-5293</v>
      </c>
      <c r="G92" s="16">
        <f t="shared" si="15"/>
        <v>2491</v>
      </c>
      <c r="H92" s="16">
        <f t="shared" si="15"/>
        <v>-1459</v>
      </c>
      <c r="I92" s="16">
        <f>+SUM(I85:I91)</f>
        <v>-4836</v>
      </c>
    </row>
    <row r="93" spans="1:9" x14ac:dyDescent="0.3">
      <c r="A93" s="43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58" t="s">
        <v>90</v>
      </c>
      <c r="B94" s="16">
        <f t="shared" ref="B94:H94" si="16">+B76+B83+B92+B93</f>
        <v>1632</v>
      </c>
      <c r="C94" s="16">
        <f t="shared" si="16"/>
        <v>-714</v>
      </c>
      <c r="D94" s="16">
        <f t="shared" si="16"/>
        <v>670</v>
      </c>
      <c r="E94" s="16">
        <f t="shared" si="16"/>
        <v>441</v>
      </c>
      <c r="F94" s="16">
        <f t="shared" si="16"/>
        <v>217</v>
      </c>
      <c r="G94" s="16">
        <f t="shared" si="16"/>
        <v>3882</v>
      </c>
      <c r="H94" s="16">
        <f t="shared" si="16"/>
        <v>1541</v>
      </c>
      <c r="I94" s="16">
        <f>+I76+I83+I92+I93</f>
        <v>-1315</v>
      </c>
    </row>
    <row r="95" spans="1:9" x14ac:dyDescent="0.3">
      <c r="A95" s="41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45" t="s">
        <v>92</v>
      </c>
      <c r="B96" s="7">
        <f t="shared" ref="B96:H96" si="17">+B94+B95</f>
        <v>3852</v>
      </c>
      <c r="C96" s="7">
        <f t="shared" si="17"/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>+I94+I95</f>
        <v>8574</v>
      </c>
    </row>
    <row r="97" spans="1:9" s="49" customFormat="1" ht="15" thickTop="1" x14ac:dyDescent="0.3">
      <c r="A97" s="49" t="s">
        <v>19</v>
      </c>
      <c r="B97" s="50">
        <f t="shared" ref="B97:H97" si="18">+B96-B25</f>
        <v>0</v>
      </c>
      <c r="C97" s="50">
        <f t="shared" si="18"/>
        <v>0</v>
      </c>
      <c r="D97" s="50">
        <f t="shared" si="18"/>
        <v>0</v>
      </c>
      <c r="E97" s="50">
        <f t="shared" si="18"/>
        <v>0</v>
      </c>
      <c r="F97" s="50">
        <f t="shared" si="18"/>
        <v>0</v>
      </c>
      <c r="G97" s="50">
        <f t="shared" si="18"/>
        <v>0</v>
      </c>
      <c r="H97" s="50">
        <f t="shared" si="18"/>
        <v>0</v>
      </c>
      <c r="I97" s="50">
        <f>+I96-I25</f>
        <v>0</v>
      </c>
    </row>
    <row r="98" spans="1:9" x14ac:dyDescent="0.3">
      <c r="A98" s="41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43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48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48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48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48" t="s">
        <v>96</v>
      </c>
      <c r="B103" s="3">
        <v>240</v>
      </c>
      <c r="C103" s="3">
        <v>271</v>
      </c>
      <c r="D103" s="3">
        <v>30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51" t="s">
        <v>99</v>
      </c>
      <c r="B105" s="51"/>
      <c r="C105" s="51"/>
      <c r="D105" s="51"/>
      <c r="E105" s="51"/>
      <c r="F105" s="51"/>
      <c r="G105" s="51"/>
      <c r="H105" s="51"/>
      <c r="I105" s="51"/>
    </row>
    <row r="106" spans="1:9" x14ac:dyDescent="0.3">
      <c r="A106" s="5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43" t="s">
        <v>100</v>
      </c>
      <c r="B107" s="3">
        <f t="shared" ref="B107:G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3">
      <c r="A108" s="48" t="s">
        <v>113</v>
      </c>
      <c r="B108" s="41">
        <v>8506</v>
      </c>
      <c r="C108" s="46">
        <v>9299</v>
      </c>
      <c r="D108" s="46">
        <v>9684</v>
      </c>
      <c r="E108" s="41">
        <v>9322</v>
      </c>
      <c r="F108" s="46">
        <v>10045</v>
      </c>
      <c r="G108" s="46">
        <v>9329</v>
      </c>
      <c r="H108" s="46">
        <v>11644</v>
      </c>
      <c r="I108" s="46">
        <v>12228</v>
      </c>
    </row>
    <row r="109" spans="1:9" x14ac:dyDescent="0.3">
      <c r="A109" s="48" t="s">
        <v>114</v>
      </c>
      <c r="B109" s="41">
        <v>4410</v>
      </c>
      <c r="C109" s="46">
        <v>4746</v>
      </c>
      <c r="D109" s="46">
        <v>4886</v>
      </c>
      <c r="E109" s="41">
        <v>4938</v>
      </c>
      <c r="F109" s="46">
        <v>5260</v>
      </c>
      <c r="G109" s="46">
        <v>4639</v>
      </c>
      <c r="H109" s="46">
        <v>5028</v>
      </c>
      <c r="I109" s="46">
        <v>5492</v>
      </c>
    </row>
    <row r="110" spans="1:9" x14ac:dyDescent="0.3">
      <c r="A110" s="48" t="s">
        <v>115</v>
      </c>
      <c r="B110" s="41">
        <v>824</v>
      </c>
      <c r="C110" s="41">
        <v>719</v>
      </c>
      <c r="D110" s="41">
        <v>646</v>
      </c>
      <c r="E110" s="41">
        <v>595</v>
      </c>
      <c r="F110" s="41">
        <v>597</v>
      </c>
      <c r="G110" s="41">
        <v>516</v>
      </c>
      <c r="H110" s="41">
        <v>507</v>
      </c>
      <c r="I110" s="41">
        <v>633</v>
      </c>
    </row>
    <row r="111" spans="1:9" x14ac:dyDescent="0.3">
      <c r="A111" s="43" t="s">
        <v>101</v>
      </c>
      <c r="B111" s="3">
        <f t="shared" ref="B111:H111" si="21">+SUM(B112:B114)</f>
        <v>7126</v>
      </c>
      <c r="C111" s="3">
        <f t="shared" si="21"/>
        <v>7315</v>
      </c>
      <c r="D111" s="3">
        <f t="shared" si="21"/>
        <v>7698</v>
      </c>
      <c r="E111" s="3">
        <f t="shared" si="21"/>
        <v>9242</v>
      </c>
      <c r="F111" s="3">
        <f t="shared" si="21"/>
        <v>9812</v>
      </c>
      <c r="G111" s="3">
        <f t="shared" si="21"/>
        <v>9347</v>
      </c>
      <c r="H111" s="3">
        <f t="shared" si="21"/>
        <v>11456</v>
      </c>
      <c r="I111" s="3">
        <f>+SUM(I112:I114)</f>
        <v>12479</v>
      </c>
    </row>
    <row r="112" spans="1:9" x14ac:dyDescent="0.3">
      <c r="A112" s="48" t="s">
        <v>113</v>
      </c>
      <c r="B112" s="41">
        <f>827+3876</f>
        <v>4703</v>
      </c>
      <c r="C112" s="41">
        <f>3985+882</f>
        <v>4867</v>
      </c>
      <c r="D112" s="41">
        <f>4068+927</f>
        <v>4995</v>
      </c>
      <c r="E112" s="41">
        <v>5875</v>
      </c>
      <c r="F112" s="46">
        <v>6293</v>
      </c>
      <c r="G112" s="46">
        <v>5892</v>
      </c>
      <c r="H112" s="46">
        <v>6970</v>
      </c>
      <c r="I112" s="46">
        <v>7388</v>
      </c>
    </row>
    <row r="113" spans="1:9" x14ac:dyDescent="0.3">
      <c r="A113" s="48" t="s">
        <v>114</v>
      </c>
      <c r="B113" s="41">
        <f>1552+499</f>
        <v>2051</v>
      </c>
      <c r="C113" s="41">
        <f>1628+463</f>
        <v>2091</v>
      </c>
      <c r="D113" s="41">
        <f>471+1868</f>
        <v>2339</v>
      </c>
      <c r="E113" s="41">
        <v>2940</v>
      </c>
      <c r="F113" s="46">
        <v>3087</v>
      </c>
      <c r="G113" s="46">
        <v>3053</v>
      </c>
      <c r="H113" s="46">
        <v>3996</v>
      </c>
      <c r="I113" s="46">
        <v>4527</v>
      </c>
    </row>
    <row r="114" spans="1:9" x14ac:dyDescent="0.3">
      <c r="A114" s="48" t="s">
        <v>115</v>
      </c>
      <c r="B114" s="41">
        <f>95+277</f>
        <v>372</v>
      </c>
      <c r="C114" s="41">
        <f>86+271</f>
        <v>357</v>
      </c>
      <c r="D114" s="41">
        <f>275+89</f>
        <v>364</v>
      </c>
      <c r="E114" s="41">
        <v>427</v>
      </c>
      <c r="F114" s="46">
        <v>432</v>
      </c>
      <c r="G114" s="41">
        <v>402</v>
      </c>
      <c r="H114" s="41">
        <v>490</v>
      </c>
      <c r="I114" s="41">
        <v>564</v>
      </c>
    </row>
    <row r="115" spans="1:9" x14ac:dyDescent="0.3">
      <c r="A115" s="43" t="s">
        <v>102</v>
      </c>
      <c r="B115" s="3">
        <f t="shared" ref="B115:H115" si="22">+SUM(B116:B118)</f>
        <v>3067</v>
      </c>
      <c r="C115" s="3">
        <f t="shared" si="22"/>
        <v>3785</v>
      </c>
      <c r="D115" s="3">
        <f t="shared" si="22"/>
        <v>4237</v>
      </c>
      <c r="E115" s="3">
        <f t="shared" si="22"/>
        <v>5134</v>
      </c>
      <c r="F115" s="3">
        <f t="shared" si="22"/>
        <v>6208</v>
      </c>
      <c r="G115" s="3">
        <f t="shared" si="22"/>
        <v>6679</v>
      </c>
      <c r="H115" s="3">
        <f t="shared" si="22"/>
        <v>8290</v>
      </c>
      <c r="I115" s="3">
        <f>+SUM(I116:I118)</f>
        <v>7547</v>
      </c>
    </row>
    <row r="116" spans="1:9" x14ac:dyDescent="0.3">
      <c r="A116" s="48" t="s">
        <v>113</v>
      </c>
      <c r="B116" s="41">
        <v>2016</v>
      </c>
      <c r="C116" s="46">
        <v>2599</v>
      </c>
      <c r="D116" s="46">
        <v>2920</v>
      </c>
      <c r="E116" s="41">
        <v>3496</v>
      </c>
      <c r="F116" s="46">
        <v>4262</v>
      </c>
      <c r="G116" s="46">
        <v>4635</v>
      </c>
      <c r="H116" s="46">
        <v>5748</v>
      </c>
      <c r="I116" s="46">
        <v>5416</v>
      </c>
    </row>
    <row r="117" spans="1:9" x14ac:dyDescent="0.3">
      <c r="A117" s="48" t="s">
        <v>114</v>
      </c>
      <c r="B117" s="41">
        <v>925</v>
      </c>
      <c r="C117" s="46">
        <v>1055</v>
      </c>
      <c r="D117" s="46">
        <v>1188</v>
      </c>
      <c r="E117" s="41">
        <v>1508</v>
      </c>
      <c r="F117" s="46">
        <v>1808</v>
      </c>
      <c r="G117" s="46">
        <v>1896</v>
      </c>
      <c r="H117" s="46">
        <v>2347</v>
      </c>
      <c r="I117" s="46">
        <v>1938</v>
      </c>
    </row>
    <row r="118" spans="1:9" x14ac:dyDescent="0.3">
      <c r="A118" s="48" t="s">
        <v>115</v>
      </c>
      <c r="B118" s="41">
        <v>126</v>
      </c>
      <c r="C118" s="41">
        <v>131</v>
      </c>
      <c r="D118" s="41">
        <v>129</v>
      </c>
      <c r="E118" s="41">
        <v>130</v>
      </c>
      <c r="F118" s="46">
        <v>138</v>
      </c>
      <c r="G118" s="41">
        <v>148</v>
      </c>
      <c r="H118" s="41">
        <v>195</v>
      </c>
      <c r="I118" s="41">
        <v>193</v>
      </c>
    </row>
    <row r="119" spans="1:9" x14ac:dyDescent="0.3">
      <c r="A119" s="43" t="s">
        <v>106</v>
      </c>
      <c r="B119" s="3">
        <f t="shared" ref="B119:H119" si="23">+SUM(B120:B122)</f>
        <v>4653</v>
      </c>
      <c r="C119" s="3">
        <f t="shared" si="23"/>
        <v>4570</v>
      </c>
      <c r="D119" s="3">
        <f t="shared" si="23"/>
        <v>5009</v>
      </c>
      <c r="E119" s="3">
        <f t="shared" si="23"/>
        <v>5166</v>
      </c>
      <c r="F119" s="3">
        <f t="shared" si="23"/>
        <v>5254</v>
      </c>
      <c r="G119" s="3">
        <f t="shared" si="23"/>
        <v>5028</v>
      </c>
      <c r="H119" s="3">
        <f t="shared" si="23"/>
        <v>5343</v>
      </c>
      <c r="I119" s="3">
        <f>+SUM(I120:I122)</f>
        <v>5955</v>
      </c>
    </row>
    <row r="120" spans="1:9" x14ac:dyDescent="0.3">
      <c r="A120" s="48" t="s">
        <v>113</v>
      </c>
      <c r="B120" s="41">
        <f>452+2641</f>
        <v>3093</v>
      </c>
      <c r="C120" s="41">
        <f>570+2536</f>
        <v>3106</v>
      </c>
      <c r="D120" s="41">
        <f>666+2816</f>
        <v>3482</v>
      </c>
      <c r="E120" s="41">
        <v>3575</v>
      </c>
      <c r="F120" s="46">
        <v>3622</v>
      </c>
      <c r="G120" s="46">
        <v>3449</v>
      </c>
      <c r="H120" s="46">
        <v>3659</v>
      </c>
      <c r="I120" s="46">
        <v>4111</v>
      </c>
    </row>
    <row r="121" spans="1:9" x14ac:dyDescent="0.3">
      <c r="A121" s="48" t="s">
        <v>114</v>
      </c>
      <c r="B121" s="41">
        <f>230+1021</f>
        <v>1251</v>
      </c>
      <c r="C121" s="41">
        <f>228+947</f>
        <v>1175</v>
      </c>
      <c r="D121" s="41">
        <f>275+966</f>
        <v>1241</v>
      </c>
      <c r="E121" s="41">
        <v>1347</v>
      </c>
      <c r="F121" s="46">
        <v>1395</v>
      </c>
      <c r="G121" s="46">
        <v>1365</v>
      </c>
      <c r="H121" s="46">
        <v>1494</v>
      </c>
      <c r="I121" s="46">
        <v>1610</v>
      </c>
    </row>
    <row r="122" spans="1:9" x14ac:dyDescent="0.3">
      <c r="A122" s="48" t="s">
        <v>115</v>
      </c>
      <c r="B122" s="41">
        <f>73+236</f>
        <v>309</v>
      </c>
      <c r="C122" s="41">
        <f>71+218</f>
        <v>289</v>
      </c>
      <c r="D122" s="41">
        <f>213+73</f>
        <v>286</v>
      </c>
      <c r="E122" s="41">
        <v>244</v>
      </c>
      <c r="F122" s="46">
        <v>237</v>
      </c>
      <c r="G122" s="41">
        <v>214</v>
      </c>
      <c r="H122" s="41">
        <v>190</v>
      </c>
      <c r="I122" s="41">
        <v>234</v>
      </c>
    </row>
    <row r="123" spans="1:9" x14ac:dyDescent="0.3">
      <c r="A123" s="43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4" t="s">
        <v>103</v>
      </c>
      <c r="B124" s="5">
        <f t="shared" ref="B124:I124" si="24">+B107+B111+B115+B119+B123</f>
        <v>28701</v>
      </c>
      <c r="C124" s="5">
        <f t="shared" si="24"/>
        <v>30507</v>
      </c>
      <c r="D124" s="5">
        <f t="shared" si="24"/>
        <v>32233</v>
      </c>
      <c r="E124" s="5">
        <f t="shared" si="24"/>
        <v>34485</v>
      </c>
      <c r="F124" s="5">
        <f t="shared" si="24"/>
        <v>37218</v>
      </c>
      <c r="G124" s="5">
        <f t="shared" si="24"/>
        <v>35568</v>
      </c>
      <c r="H124" s="5">
        <f t="shared" si="24"/>
        <v>42293</v>
      </c>
      <c r="I124" s="5">
        <f t="shared" si="24"/>
        <v>44436</v>
      </c>
    </row>
    <row r="125" spans="1:9" x14ac:dyDescent="0.3">
      <c r="A125" s="43" t="s">
        <v>104</v>
      </c>
      <c r="B125" s="3">
        <f t="shared" ref="B125:G125" si="25">+SUM(B126:B129)</f>
        <v>1982</v>
      </c>
      <c r="C125" s="3">
        <f t="shared" si="25"/>
        <v>1955</v>
      </c>
      <c r="D125" s="3">
        <f t="shared" si="25"/>
        <v>2042</v>
      </c>
      <c r="E125" s="3">
        <f t="shared" si="25"/>
        <v>1886</v>
      </c>
      <c r="F125" s="3">
        <f t="shared" si="25"/>
        <v>1906</v>
      </c>
      <c r="G125" s="3">
        <f t="shared" si="25"/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48" t="s">
        <v>113</v>
      </c>
      <c r="B126" s="3">
        <v>1982</v>
      </c>
      <c r="C126" s="3">
        <v>1955</v>
      </c>
      <c r="D126" s="3">
        <v>2042</v>
      </c>
      <c r="E126" s="3">
        <v>1886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48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48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48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43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45" t="s">
        <v>105</v>
      </c>
      <c r="B131" s="7">
        <f t="shared" ref="B131:H131" si="26">+B124+B125+B130</f>
        <v>30601</v>
      </c>
      <c r="C131" s="7">
        <f t="shared" si="26"/>
        <v>32376</v>
      </c>
      <c r="D131" s="7">
        <f t="shared" si="26"/>
        <v>34350</v>
      </c>
      <c r="E131" s="7">
        <f t="shared" si="26"/>
        <v>36397</v>
      </c>
      <c r="F131" s="7">
        <f t="shared" si="26"/>
        <v>39117</v>
      </c>
      <c r="G131" s="7">
        <f t="shared" si="26"/>
        <v>37403</v>
      </c>
      <c r="H131" s="7">
        <f t="shared" si="26"/>
        <v>44538</v>
      </c>
      <c r="I131" s="7">
        <f>+I124+I125+I130</f>
        <v>46710</v>
      </c>
    </row>
    <row r="132" spans="1:9" s="49" customFormat="1" ht="15" thickTop="1" x14ac:dyDescent="0.3">
      <c r="A132" s="49" t="s">
        <v>111</v>
      </c>
      <c r="B132" s="50">
        <f>+I131-I2</f>
        <v>0</v>
      </c>
      <c r="C132" s="50">
        <f t="shared" ref="C132:G132" si="27">+C131-C2</f>
        <v>0</v>
      </c>
      <c r="D132" s="50">
        <f t="shared" si="27"/>
        <v>0</v>
      </c>
      <c r="E132" s="50">
        <f t="shared" si="27"/>
        <v>0</v>
      </c>
      <c r="F132" s="50">
        <f t="shared" si="27"/>
        <v>0</v>
      </c>
      <c r="G132" s="50">
        <f t="shared" si="27"/>
        <v>0</v>
      </c>
      <c r="H132" s="50">
        <f>+H131-H2</f>
        <v>0</v>
      </c>
    </row>
    <row r="133" spans="1:9" x14ac:dyDescent="0.3">
      <c r="A133" s="42" t="s">
        <v>110</v>
      </c>
    </row>
    <row r="134" spans="1:9" x14ac:dyDescent="0.3">
      <c r="A134" s="43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43" t="s">
        <v>101</v>
      </c>
      <c r="B135" s="3">
        <v>1275</v>
      </c>
      <c r="C135" s="3">
        <f>1434</f>
        <v>1434</v>
      </c>
      <c r="D135" s="3">
        <f>244+1203</f>
        <v>1447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43" t="s">
        <v>102</v>
      </c>
      <c r="B136" s="3">
        <v>249</v>
      </c>
      <c r="C136" s="3">
        <f>1372+174</f>
        <v>1546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43" t="s">
        <v>106</v>
      </c>
      <c r="B137" s="3">
        <f>993+100+818</f>
        <v>1911</v>
      </c>
      <c r="C137" s="3">
        <f>892+289</f>
        <v>1181</v>
      </c>
      <c r="D137" s="3">
        <f>224+816</f>
        <v>1040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43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4" t="s">
        <v>103</v>
      </c>
      <c r="B139" s="5">
        <f t="shared" ref="B139:I139" si="28">+SUM(B134:B138)</f>
        <v>4813</v>
      </c>
      <c r="C139" s="5">
        <f t="shared" si="28"/>
        <v>5328</v>
      </c>
      <c r="D139" s="5">
        <f t="shared" si="28"/>
        <v>5192</v>
      </c>
      <c r="E139" s="5">
        <f t="shared" si="28"/>
        <v>5525</v>
      </c>
      <c r="F139" s="5">
        <f t="shared" si="28"/>
        <v>6357</v>
      </c>
      <c r="G139" s="5">
        <f t="shared" si="28"/>
        <v>4646</v>
      </c>
      <c r="H139" s="5">
        <f t="shared" si="28"/>
        <v>8641</v>
      </c>
      <c r="I139" s="5">
        <f t="shared" si="28"/>
        <v>8406</v>
      </c>
    </row>
    <row r="140" spans="1:9" x14ac:dyDescent="0.3">
      <c r="A140" s="43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43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45" t="s">
        <v>112</v>
      </c>
      <c r="B142" s="7">
        <f t="shared" ref="B142" si="29">+SUM(B139:B141)</f>
        <v>4233</v>
      </c>
      <c r="C142" s="7">
        <f t="shared" ref="C142:H142" si="30">+SUM(C139:C141)</f>
        <v>4642</v>
      </c>
      <c r="D142" s="7">
        <f t="shared" si="30"/>
        <v>4945</v>
      </c>
      <c r="E142" s="7">
        <f t="shared" si="30"/>
        <v>4379</v>
      </c>
      <c r="F142" s="7">
        <f t="shared" si="30"/>
        <v>4850</v>
      </c>
      <c r="G142" s="7">
        <f t="shared" si="30"/>
        <v>2976</v>
      </c>
      <c r="H142" s="7">
        <f t="shared" si="30"/>
        <v>6923</v>
      </c>
      <c r="I142" s="7">
        <f>+SUM(I139:I141)</f>
        <v>6856</v>
      </c>
    </row>
    <row r="143" spans="1:9" s="49" customFormat="1" ht="15" thickTop="1" x14ac:dyDescent="0.3">
      <c r="A143" s="49" t="s">
        <v>111</v>
      </c>
      <c r="B143" s="50">
        <f t="shared" ref="B143:H143" si="31">+B142-B10-B8</f>
        <v>0</v>
      </c>
      <c r="C143" s="50">
        <f t="shared" si="31"/>
        <v>0</v>
      </c>
      <c r="D143" s="50">
        <f t="shared" si="31"/>
        <v>0</v>
      </c>
      <c r="E143" s="50">
        <f t="shared" si="31"/>
        <v>0</v>
      </c>
      <c r="F143" s="50">
        <f t="shared" si="31"/>
        <v>0</v>
      </c>
      <c r="G143" s="50">
        <f t="shared" si="31"/>
        <v>0</v>
      </c>
      <c r="H143" s="50">
        <f t="shared" si="31"/>
        <v>0</v>
      </c>
      <c r="I143" s="50">
        <f>+I142-I10-I8</f>
        <v>0</v>
      </c>
    </row>
    <row r="144" spans="1:9" x14ac:dyDescent="0.3">
      <c r="A144" s="42" t="s">
        <v>117</v>
      </c>
    </row>
    <row r="145" spans="1:9" x14ac:dyDescent="0.3">
      <c r="A145" s="43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43" t="s">
        <v>101</v>
      </c>
      <c r="B146" s="3">
        <f>451+47</f>
        <v>498</v>
      </c>
      <c r="C146" s="3">
        <f>589+50</f>
        <v>639</v>
      </c>
      <c r="D146" s="3">
        <f>658+48</f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43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43" t="s">
        <v>118</v>
      </c>
      <c r="B148" s="3">
        <f>103+205</f>
        <v>308</v>
      </c>
      <c r="C148" s="3">
        <v>223</v>
      </c>
      <c r="D148" s="3">
        <f>120+223</f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43" t="s">
        <v>107</v>
      </c>
      <c r="B149" s="3">
        <v>484</v>
      </c>
      <c r="C149" s="3">
        <f>109+511</f>
        <v>620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4" t="s">
        <v>119</v>
      </c>
      <c r="B150" s="5">
        <f t="shared" ref="B150:I150" si="32">+SUM(B145:B149)</f>
        <v>2176</v>
      </c>
      <c r="C150" s="5">
        <f t="shared" si="32"/>
        <v>2458</v>
      </c>
      <c r="D150" s="5">
        <f t="shared" si="32"/>
        <v>2626</v>
      </c>
      <c r="E150" s="5">
        <f t="shared" si="32"/>
        <v>2889</v>
      </c>
      <c r="F150" s="5">
        <f t="shared" si="32"/>
        <v>2971</v>
      </c>
      <c r="G150" s="5">
        <f t="shared" si="32"/>
        <v>2870</v>
      </c>
      <c r="H150" s="5">
        <f t="shared" si="32"/>
        <v>2971</v>
      </c>
      <c r="I150" s="5">
        <f t="shared" si="32"/>
        <v>2925</v>
      </c>
    </row>
    <row r="151" spans="1:9" x14ac:dyDescent="0.3">
      <c r="A151" s="43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43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45" t="s">
        <v>120</v>
      </c>
      <c r="B153" s="7">
        <f t="shared" ref="B153:H153" si="33">+SUM(B150:B152)</f>
        <v>3011</v>
      </c>
      <c r="C153" s="7">
        <f t="shared" si="33"/>
        <v>3520</v>
      </c>
      <c r="D153" s="7">
        <f t="shared" si="33"/>
        <v>3989</v>
      </c>
      <c r="E153" s="7">
        <f t="shared" si="33"/>
        <v>4454</v>
      </c>
      <c r="F153" s="7">
        <f t="shared" si="33"/>
        <v>4744</v>
      </c>
      <c r="G153" s="7">
        <f t="shared" si="33"/>
        <v>4866</v>
      </c>
      <c r="H153" s="7">
        <f t="shared" si="33"/>
        <v>4904</v>
      </c>
      <c r="I153" s="7">
        <f>+SUM(I150:I152)</f>
        <v>4791</v>
      </c>
    </row>
    <row r="154" spans="1:9" ht="15" thickTop="1" x14ac:dyDescent="0.3">
      <c r="A154" s="49" t="s">
        <v>111</v>
      </c>
      <c r="B154" s="50">
        <f t="shared" ref="B154:H154" si="34">+B153-B31</f>
        <v>0</v>
      </c>
      <c r="C154" s="50">
        <f t="shared" si="34"/>
        <v>0</v>
      </c>
      <c r="D154" s="50">
        <f t="shared" si="34"/>
        <v>0</v>
      </c>
      <c r="E154" s="50">
        <f t="shared" si="34"/>
        <v>0</v>
      </c>
      <c r="F154" s="50">
        <f t="shared" si="34"/>
        <v>0</v>
      </c>
      <c r="G154" s="50">
        <f t="shared" si="34"/>
        <v>0</v>
      </c>
      <c r="H154" s="50">
        <f t="shared" si="34"/>
        <v>0</v>
      </c>
      <c r="I154" s="50">
        <f>+I153-I31</f>
        <v>0</v>
      </c>
    </row>
    <row r="155" spans="1:9" x14ac:dyDescent="0.3">
      <c r="A155" s="42" t="s">
        <v>122</v>
      </c>
    </row>
    <row r="156" spans="1:9" x14ac:dyDescent="0.3">
      <c r="A156" s="43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43" t="s">
        <v>101</v>
      </c>
      <c r="B157" s="3">
        <f>211</f>
        <v>211</v>
      </c>
      <c r="C157" s="3">
        <f>215</f>
        <v>215</v>
      </c>
      <c r="D157" s="3">
        <f>162+10</f>
        <v>172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43" t="s">
        <v>102</v>
      </c>
      <c r="B158" s="3">
        <f>69</f>
        <v>69</v>
      </c>
      <c r="C158" s="3">
        <v>26</v>
      </c>
      <c r="D158" s="3">
        <f>21+51</f>
        <v>72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43" t="s">
        <v>118</v>
      </c>
      <c r="B159" s="3">
        <v>37</v>
      </c>
      <c r="C159" s="3">
        <v>51</v>
      </c>
      <c r="D159" s="3">
        <v>39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43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4" t="s">
        <v>119</v>
      </c>
      <c r="B161" s="5">
        <f t="shared" ref="B161:I161" si="35">+SUM(B156:B160)</f>
        <v>750</v>
      </c>
      <c r="C161" s="5">
        <f t="shared" si="35"/>
        <v>792</v>
      </c>
      <c r="D161" s="5">
        <f t="shared" si="35"/>
        <v>784</v>
      </c>
      <c r="E161" s="5">
        <f t="shared" si="35"/>
        <v>847</v>
      </c>
      <c r="F161" s="5">
        <f t="shared" si="35"/>
        <v>724</v>
      </c>
      <c r="G161" s="5">
        <f t="shared" si="35"/>
        <v>756</v>
      </c>
      <c r="H161" s="5">
        <f t="shared" si="35"/>
        <v>677</v>
      </c>
      <c r="I161" s="5">
        <f t="shared" si="35"/>
        <v>699</v>
      </c>
    </row>
    <row r="162" spans="1:9" x14ac:dyDescent="0.3">
      <c r="A162" s="43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43" t="s">
        <v>108</v>
      </c>
      <c r="B163" s="3">
        <f t="shared" ref="B163:H163" si="36">-(SUM(B161:B162)+B81)</f>
        <v>144</v>
      </c>
      <c r="C163" s="3">
        <f t="shared" si="36"/>
        <v>312</v>
      </c>
      <c r="D163" s="3">
        <f t="shared" si="36"/>
        <v>278</v>
      </c>
      <c r="E163" s="3">
        <f t="shared" si="36"/>
        <v>159</v>
      </c>
      <c r="F163" s="3">
        <f t="shared" si="36"/>
        <v>377</v>
      </c>
      <c r="G163" s="3">
        <f t="shared" si="36"/>
        <v>318</v>
      </c>
      <c r="H163" s="3">
        <f t="shared" si="36"/>
        <v>11</v>
      </c>
      <c r="I163" s="3">
        <f>-(SUM(I161:I162)+I81)</f>
        <v>50</v>
      </c>
    </row>
    <row r="164" spans="1:9" ht="15" thickBot="1" x14ac:dyDescent="0.35">
      <c r="A164" s="45" t="s">
        <v>123</v>
      </c>
      <c r="B164" s="7">
        <f t="shared" ref="B164:H164" si="37">+SUM(B161:B163)</f>
        <v>963</v>
      </c>
      <c r="C164" s="7">
        <f t="shared" si="37"/>
        <v>1143</v>
      </c>
      <c r="D164" s="7">
        <f t="shared" si="37"/>
        <v>1092</v>
      </c>
      <c r="E164" s="7">
        <f t="shared" si="37"/>
        <v>1028</v>
      </c>
      <c r="F164" s="7">
        <f t="shared" si="37"/>
        <v>1119</v>
      </c>
      <c r="G164" s="7">
        <f t="shared" si="37"/>
        <v>1086</v>
      </c>
      <c r="H164" s="7">
        <f t="shared" si="37"/>
        <v>695</v>
      </c>
      <c r="I164" s="7">
        <f>+SUM(I161:I163)</f>
        <v>758</v>
      </c>
    </row>
    <row r="165" spans="1:9" ht="15" thickTop="1" x14ac:dyDescent="0.3">
      <c r="A165" s="49" t="s">
        <v>111</v>
      </c>
      <c r="B165" s="50">
        <f t="shared" ref="B165:H165" si="38">+B164+B81</f>
        <v>0</v>
      </c>
      <c r="C165" s="50">
        <f t="shared" si="38"/>
        <v>0</v>
      </c>
      <c r="D165" s="50">
        <f t="shared" si="38"/>
        <v>0</v>
      </c>
      <c r="E165" s="50">
        <f t="shared" si="38"/>
        <v>0</v>
      </c>
      <c r="F165" s="50">
        <f t="shared" si="38"/>
        <v>0</v>
      </c>
      <c r="G165" s="50">
        <f t="shared" si="38"/>
        <v>0</v>
      </c>
      <c r="H165" s="50">
        <f t="shared" si="38"/>
        <v>0</v>
      </c>
      <c r="I165" s="50">
        <f>+I164+I81</f>
        <v>0</v>
      </c>
    </row>
    <row r="166" spans="1:9" x14ac:dyDescent="0.3">
      <c r="A166" s="42" t="s">
        <v>124</v>
      </c>
    </row>
    <row r="167" spans="1:9" x14ac:dyDescent="0.3">
      <c r="A167" s="43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43" t="s">
        <v>101</v>
      </c>
      <c r="B168" s="3">
        <f>75+12</f>
        <v>87</v>
      </c>
      <c r="C168" s="3">
        <f>72+12</f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43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f>44+137</f>
        <v>181</v>
      </c>
      <c r="H169" s="3">
        <v>46</v>
      </c>
      <c r="I169" s="3">
        <v>41</v>
      </c>
    </row>
    <row r="170" spans="1:9" x14ac:dyDescent="0.3">
      <c r="A170" s="43" t="s">
        <v>106</v>
      </c>
      <c r="B170" s="3">
        <v>142</v>
      </c>
      <c r="C170" s="3">
        <v>154</v>
      </c>
      <c r="D170" s="3">
        <v>173</v>
      </c>
      <c r="E170" s="3">
        <v>198</v>
      </c>
      <c r="F170" s="3">
        <v>200</v>
      </c>
      <c r="G170" s="3">
        <v>46</v>
      </c>
      <c r="H170" s="3">
        <v>43</v>
      </c>
      <c r="I170" s="3">
        <v>42</v>
      </c>
    </row>
    <row r="171" spans="1:9" x14ac:dyDescent="0.3">
      <c r="A171" s="43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4" t="s">
        <v>119</v>
      </c>
      <c r="B172" s="5">
        <f t="shared" ref="B172:I172" si="39">+SUM(B167:B171)</f>
        <v>606</v>
      </c>
      <c r="C172" s="5">
        <f t="shared" si="39"/>
        <v>649</v>
      </c>
      <c r="D172" s="5">
        <f t="shared" si="39"/>
        <v>706</v>
      </c>
      <c r="E172" s="5">
        <f t="shared" si="39"/>
        <v>747</v>
      </c>
      <c r="F172" s="5">
        <f t="shared" si="39"/>
        <v>705</v>
      </c>
      <c r="G172" s="5">
        <f t="shared" si="39"/>
        <v>721</v>
      </c>
      <c r="H172" s="5">
        <f t="shared" si="39"/>
        <v>577</v>
      </c>
      <c r="I172" s="5">
        <f t="shared" si="39"/>
        <v>561</v>
      </c>
    </row>
    <row r="173" spans="1:9" x14ac:dyDescent="0.3">
      <c r="A173" s="43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43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45" t="s">
        <v>125</v>
      </c>
      <c r="B175" s="7">
        <f t="shared" ref="B175:H175" si="40">+SUM(B172:B174)</f>
        <v>606</v>
      </c>
      <c r="C175" s="7">
        <f t="shared" si="40"/>
        <v>649</v>
      </c>
      <c r="D175" s="7">
        <f t="shared" si="40"/>
        <v>706</v>
      </c>
      <c r="E175" s="7">
        <f t="shared" si="40"/>
        <v>747</v>
      </c>
      <c r="F175" s="7">
        <f t="shared" si="40"/>
        <v>705</v>
      </c>
      <c r="G175" s="7">
        <f t="shared" si="40"/>
        <v>721</v>
      </c>
      <c r="H175" s="7">
        <f t="shared" si="40"/>
        <v>744</v>
      </c>
      <c r="I175" s="7">
        <f>+SUM(I172:I174)</f>
        <v>717</v>
      </c>
    </row>
    <row r="176" spans="1:9" ht="15" thickTop="1" x14ac:dyDescent="0.3">
      <c r="A176" s="49" t="s">
        <v>111</v>
      </c>
      <c r="B176" s="50">
        <f t="shared" ref="B176:H176" si="41">+B175-B66</f>
        <v>0</v>
      </c>
      <c r="C176" s="50">
        <f t="shared" si="41"/>
        <v>0</v>
      </c>
      <c r="D176" s="50">
        <f t="shared" si="41"/>
        <v>0</v>
      </c>
      <c r="E176" s="50">
        <f t="shared" si="41"/>
        <v>0</v>
      </c>
      <c r="F176" s="50">
        <f t="shared" si="41"/>
        <v>0</v>
      </c>
      <c r="G176" s="50">
        <f t="shared" si="41"/>
        <v>0</v>
      </c>
      <c r="H176" s="50">
        <f t="shared" si="41"/>
        <v>0</v>
      </c>
      <c r="I176" s="50">
        <f>+I175-I66</f>
        <v>0</v>
      </c>
    </row>
    <row r="177" spans="1:9" x14ac:dyDescent="0.3">
      <c r="A177" s="51" t="s">
        <v>126</v>
      </c>
      <c r="B177" s="51"/>
      <c r="C177" s="51"/>
      <c r="D177" s="51"/>
      <c r="E177" s="51"/>
      <c r="F177" s="51"/>
      <c r="G177" s="51"/>
      <c r="H177" s="51"/>
      <c r="I177" s="51"/>
    </row>
    <row r="178" spans="1:9" x14ac:dyDescent="0.3">
      <c r="A178" s="59" t="s">
        <v>127</v>
      </c>
    </row>
    <row r="179" spans="1:9" x14ac:dyDescent="0.3">
      <c r="A179" s="64" t="s">
        <v>100</v>
      </c>
      <c r="B179" s="78" t="s">
        <v>209</v>
      </c>
      <c r="C179" s="78">
        <f t="shared" ref="C179:H194" si="42">(C107-B107)/B107</f>
        <v>7.4526928675400297E-2</v>
      </c>
      <c r="D179" s="78">
        <f t="shared" si="42"/>
        <v>3.061500948252506E-2</v>
      </c>
      <c r="E179" s="78">
        <f t="shared" si="42"/>
        <v>-2.3725026288117772E-2</v>
      </c>
      <c r="F179" s="78">
        <f t="shared" si="42"/>
        <v>7.0481319421070346E-2</v>
      </c>
      <c r="G179" s="78">
        <f>(G107-F107)/F107</f>
        <v>-8.9171173437303478E-2</v>
      </c>
      <c r="H179" s="78">
        <f>(H107-G107)/G107</f>
        <v>0.18606738470035902</v>
      </c>
      <c r="I179" s="65">
        <v>7.0000000000000007E-2</v>
      </c>
    </row>
    <row r="180" spans="1:9" x14ac:dyDescent="0.3">
      <c r="A180" s="62" t="s">
        <v>113</v>
      </c>
      <c r="B180" s="78" t="s">
        <v>209</v>
      </c>
      <c r="C180" s="79">
        <f t="shared" si="42"/>
        <v>9.3228309428638606E-2</v>
      </c>
      <c r="D180" s="79">
        <f t="shared" si="42"/>
        <v>4.1402301322722872E-2</v>
      </c>
      <c r="E180" s="79">
        <f t="shared" si="42"/>
        <v>-3.7381247418422137E-2</v>
      </c>
      <c r="F180" s="79">
        <f t="shared" si="42"/>
        <v>7.7558463848959452E-2</v>
      </c>
      <c r="G180" s="79">
        <f t="shared" si="42"/>
        <v>-7.1279243404678949E-2</v>
      </c>
      <c r="H180" s="79">
        <f>(H108-G108)/G108</f>
        <v>0.24815092721620752</v>
      </c>
      <c r="I180" s="61">
        <v>0.05</v>
      </c>
    </row>
    <row r="181" spans="1:9" x14ac:dyDescent="0.3">
      <c r="A181" s="62" t="s">
        <v>114</v>
      </c>
      <c r="B181" s="78" t="s">
        <v>209</v>
      </c>
      <c r="C181" s="79">
        <f t="shared" si="42"/>
        <v>7.6190476190476197E-2</v>
      </c>
      <c r="D181" s="79">
        <f t="shared" si="42"/>
        <v>2.9498525073746312E-2</v>
      </c>
      <c r="E181" s="79">
        <f t="shared" si="42"/>
        <v>1.0642652476463364E-2</v>
      </c>
      <c r="F181" s="79">
        <f t="shared" si="42"/>
        <v>6.5208586472255969E-2</v>
      </c>
      <c r="G181" s="79">
        <f t="shared" si="42"/>
        <v>-0.11806083650190113</v>
      </c>
      <c r="H181" s="79">
        <f t="shared" si="42"/>
        <v>8.3854278939426596E-2</v>
      </c>
      <c r="I181" s="61">
        <v>0.09</v>
      </c>
    </row>
    <row r="182" spans="1:9" x14ac:dyDescent="0.3">
      <c r="A182" s="62" t="s">
        <v>115</v>
      </c>
      <c r="B182" s="78" t="s">
        <v>209</v>
      </c>
      <c r="C182" s="79">
        <f t="shared" si="42"/>
        <v>-0.12742718446601942</v>
      </c>
      <c r="D182" s="79">
        <f t="shared" si="42"/>
        <v>-0.10152990264255911</v>
      </c>
      <c r="E182" s="79">
        <f t="shared" si="42"/>
        <v>-7.8947368421052627E-2</v>
      </c>
      <c r="F182" s="79">
        <f t="shared" si="42"/>
        <v>3.3613445378151263E-3</v>
      </c>
      <c r="G182" s="79">
        <f t="shared" si="42"/>
        <v>-0.135678391959799</v>
      </c>
      <c r="H182" s="79">
        <f t="shared" si="42"/>
        <v>-1.7441860465116279E-2</v>
      </c>
      <c r="I182" s="61">
        <v>0.25</v>
      </c>
    </row>
    <row r="183" spans="1:9" x14ac:dyDescent="0.3">
      <c r="A183" s="64" t="s">
        <v>101</v>
      </c>
      <c r="B183" s="78" t="s">
        <v>209</v>
      </c>
      <c r="C183" s="79">
        <f t="shared" si="42"/>
        <v>2.6522593320235755E-2</v>
      </c>
      <c r="D183" s="79">
        <f t="shared" si="42"/>
        <v>5.2358168147641833E-2</v>
      </c>
      <c r="E183" s="79">
        <f t="shared" si="42"/>
        <v>0.20057157703299558</v>
      </c>
      <c r="F183" s="79">
        <f t="shared" si="42"/>
        <v>6.1674962129409219E-2</v>
      </c>
      <c r="G183" s="79">
        <f t="shared" si="42"/>
        <v>-4.7390949857317573E-2</v>
      </c>
      <c r="H183" s="79">
        <f t="shared" si="42"/>
        <v>0.22563389322777361</v>
      </c>
      <c r="I183" s="65">
        <v>0.12</v>
      </c>
    </row>
    <row r="184" spans="1:9" x14ac:dyDescent="0.3">
      <c r="A184" s="62" t="s">
        <v>113</v>
      </c>
      <c r="B184" s="78" t="s">
        <v>209</v>
      </c>
      <c r="C184" s="79">
        <f t="shared" si="42"/>
        <v>3.4871358707208165E-2</v>
      </c>
      <c r="D184" s="79">
        <f t="shared" si="42"/>
        <v>2.6299568522703924E-2</v>
      </c>
      <c r="E184" s="79">
        <f t="shared" si="42"/>
        <v>0.17617617617617617</v>
      </c>
      <c r="F184" s="79">
        <f t="shared" si="42"/>
        <v>7.114893617021277E-2</v>
      </c>
      <c r="G184" s="79">
        <f t="shared" si="42"/>
        <v>-6.3721595423486418E-2</v>
      </c>
      <c r="H184" s="79">
        <f t="shared" si="42"/>
        <v>0.18295994568906992</v>
      </c>
      <c r="I184" s="61">
        <v>0.09</v>
      </c>
    </row>
    <row r="185" spans="1:9" x14ac:dyDescent="0.3">
      <c r="A185" s="62" t="s">
        <v>114</v>
      </c>
      <c r="B185" s="78" t="s">
        <v>209</v>
      </c>
      <c r="C185" s="79">
        <f t="shared" si="42"/>
        <v>1.9502681618722574E-2</v>
      </c>
      <c r="D185" s="79">
        <f t="shared" si="42"/>
        <v>0.11860353897656624</v>
      </c>
      <c r="E185" s="79">
        <f t="shared" si="42"/>
        <v>0.25694741342454042</v>
      </c>
      <c r="F185" s="79">
        <f t="shared" si="42"/>
        <v>0.05</v>
      </c>
      <c r="G185" s="79">
        <f t="shared" si="42"/>
        <v>-1.101392938127632E-2</v>
      </c>
      <c r="H185" s="79">
        <f t="shared" si="42"/>
        <v>0.30887651490337376</v>
      </c>
      <c r="I185" s="61">
        <v>0.16</v>
      </c>
    </row>
    <row r="186" spans="1:9" x14ac:dyDescent="0.3">
      <c r="A186" s="62" t="s">
        <v>115</v>
      </c>
      <c r="B186" s="78" t="s">
        <v>209</v>
      </c>
      <c r="C186" s="79">
        <f t="shared" si="42"/>
        <v>-4.0322580645161289E-2</v>
      </c>
      <c r="D186" s="79">
        <f t="shared" si="42"/>
        <v>1.9607843137254902E-2</v>
      </c>
      <c r="E186" s="79">
        <f t="shared" si="42"/>
        <v>0.17307692307692307</v>
      </c>
      <c r="F186" s="79">
        <f t="shared" si="42"/>
        <v>1.1709601873536301E-2</v>
      </c>
      <c r="G186" s="79">
        <f t="shared" si="42"/>
        <v>-6.9444444444444448E-2</v>
      </c>
      <c r="H186" s="79">
        <f t="shared" si="42"/>
        <v>0.21890547263681592</v>
      </c>
      <c r="I186" s="61">
        <v>0.17</v>
      </c>
    </row>
    <row r="187" spans="1:9" x14ac:dyDescent="0.3">
      <c r="A187" s="64" t="s">
        <v>102</v>
      </c>
      <c r="B187" s="78" t="s">
        <v>209</v>
      </c>
      <c r="C187" s="79">
        <f t="shared" si="42"/>
        <v>0.23410498858819692</v>
      </c>
      <c r="D187" s="79">
        <f t="shared" si="42"/>
        <v>0.11941875825627477</v>
      </c>
      <c r="E187" s="79">
        <f t="shared" si="42"/>
        <v>0.21170639603493038</v>
      </c>
      <c r="F187" s="79">
        <f t="shared" si="42"/>
        <v>0.20919361121932217</v>
      </c>
      <c r="G187" s="79">
        <f t="shared" si="42"/>
        <v>7.5869845360824736E-2</v>
      </c>
      <c r="H187" s="79">
        <f t="shared" si="42"/>
        <v>0.24120377301991316</v>
      </c>
      <c r="I187" s="65">
        <v>-0.13</v>
      </c>
    </row>
    <row r="188" spans="1:9" x14ac:dyDescent="0.3">
      <c r="A188" s="62" t="s">
        <v>113</v>
      </c>
      <c r="B188" s="78" t="s">
        <v>209</v>
      </c>
      <c r="C188" s="79">
        <f t="shared" si="42"/>
        <v>0.28918650793650796</v>
      </c>
      <c r="D188" s="79">
        <f t="shared" si="42"/>
        <v>0.12350904193920739</v>
      </c>
      <c r="E188" s="79">
        <f t="shared" si="42"/>
        <v>0.19726027397260273</v>
      </c>
      <c r="F188" s="79">
        <f t="shared" si="42"/>
        <v>0.21910755148741418</v>
      </c>
      <c r="G188" s="79">
        <f t="shared" si="42"/>
        <v>8.7517597372125763E-2</v>
      </c>
      <c r="H188" s="79">
        <f t="shared" si="42"/>
        <v>0.24012944983818771</v>
      </c>
      <c r="I188" s="61">
        <v>-0.1</v>
      </c>
    </row>
    <row r="189" spans="1:9" x14ac:dyDescent="0.3">
      <c r="A189" s="62" t="s">
        <v>114</v>
      </c>
      <c r="B189" s="78" t="s">
        <v>209</v>
      </c>
      <c r="C189" s="79">
        <f t="shared" si="42"/>
        <v>0.14054054054054055</v>
      </c>
      <c r="D189" s="79">
        <f t="shared" si="42"/>
        <v>0.12606635071090047</v>
      </c>
      <c r="E189" s="79">
        <f t="shared" si="42"/>
        <v>0.26936026936026936</v>
      </c>
      <c r="F189" s="79">
        <f t="shared" si="42"/>
        <v>0.19893899204244031</v>
      </c>
      <c r="G189" s="79">
        <f t="shared" si="42"/>
        <v>4.8672566371681415E-2</v>
      </c>
      <c r="H189" s="79">
        <f t="shared" si="42"/>
        <v>0.2378691983122363</v>
      </c>
      <c r="I189" s="61">
        <v>-0.21</v>
      </c>
    </row>
    <row r="190" spans="1:9" x14ac:dyDescent="0.3">
      <c r="A190" s="62" t="s">
        <v>115</v>
      </c>
      <c r="B190" s="78" t="s">
        <v>209</v>
      </c>
      <c r="C190" s="79">
        <f t="shared" si="42"/>
        <v>3.968253968253968E-2</v>
      </c>
      <c r="D190" s="79">
        <f t="shared" si="42"/>
        <v>-1.5267175572519083E-2</v>
      </c>
      <c r="E190" s="79">
        <f t="shared" si="42"/>
        <v>7.7519379844961239E-3</v>
      </c>
      <c r="F190" s="79">
        <f t="shared" si="42"/>
        <v>6.1538461538461542E-2</v>
      </c>
      <c r="G190" s="79">
        <f t="shared" si="42"/>
        <v>7.2463768115942032E-2</v>
      </c>
      <c r="H190" s="79">
        <f t="shared" si="42"/>
        <v>0.31756756756756754</v>
      </c>
      <c r="I190" s="61">
        <v>-0.06</v>
      </c>
    </row>
    <row r="191" spans="1:9" x14ac:dyDescent="0.3">
      <c r="A191" s="64" t="s">
        <v>106</v>
      </c>
      <c r="B191" s="78" t="s">
        <v>209</v>
      </c>
      <c r="C191" s="79">
        <f t="shared" si="42"/>
        <v>-1.7837954008166772E-2</v>
      </c>
      <c r="D191" s="79">
        <f t="shared" si="42"/>
        <v>9.6061269146608314E-2</v>
      </c>
      <c r="E191" s="79">
        <f t="shared" si="42"/>
        <v>3.1343581553204235E-2</v>
      </c>
      <c r="F191" s="79">
        <f t="shared" si="42"/>
        <v>1.7034456058846303E-2</v>
      </c>
      <c r="G191" s="79">
        <f t="shared" si="42"/>
        <v>-4.3014845831747243E-2</v>
      </c>
      <c r="H191" s="79">
        <f t="shared" si="42"/>
        <v>6.2649164677804292E-2</v>
      </c>
      <c r="I191" s="65">
        <v>0.16</v>
      </c>
    </row>
    <row r="192" spans="1:9" x14ac:dyDescent="0.3">
      <c r="A192" s="62" t="s">
        <v>113</v>
      </c>
      <c r="B192" s="78" t="s">
        <v>209</v>
      </c>
      <c r="C192" s="79">
        <f t="shared" si="42"/>
        <v>4.2030391205948913E-3</v>
      </c>
      <c r="D192" s="79">
        <f t="shared" si="42"/>
        <v>0.1210560206052801</v>
      </c>
      <c r="E192" s="79">
        <f t="shared" si="42"/>
        <v>2.6708788052843192E-2</v>
      </c>
      <c r="F192" s="79">
        <f t="shared" si="42"/>
        <v>1.3146853146853148E-2</v>
      </c>
      <c r="G192" s="79">
        <f t="shared" si="42"/>
        <v>-4.7763666482606291E-2</v>
      </c>
      <c r="H192" s="79">
        <f t="shared" si="42"/>
        <v>6.0887213685126125E-2</v>
      </c>
      <c r="I192" s="61">
        <v>0.17</v>
      </c>
    </row>
    <row r="193" spans="1:9" x14ac:dyDescent="0.3">
      <c r="A193" s="62" t="s">
        <v>114</v>
      </c>
      <c r="B193" s="78" t="s">
        <v>209</v>
      </c>
      <c r="C193" s="79">
        <f t="shared" si="42"/>
        <v>-6.0751398880895285E-2</v>
      </c>
      <c r="D193" s="79">
        <f t="shared" si="42"/>
        <v>5.6170212765957447E-2</v>
      </c>
      <c r="E193" s="79">
        <f t="shared" si="42"/>
        <v>8.5414987912973403E-2</v>
      </c>
      <c r="F193" s="79">
        <f t="shared" si="42"/>
        <v>3.5634743875278395E-2</v>
      </c>
      <c r="G193" s="79">
        <f t="shared" si="42"/>
        <v>-2.1505376344086023E-2</v>
      </c>
      <c r="H193" s="79">
        <f t="shared" si="42"/>
        <v>9.4505494505494503E-2</v>
      </c>
      <c r="I193" s="61">
        <v>0.12</v>
      </c>
    </row>
    <row r="194" spans="1:9" x14ac:dyDescent="0.3">
      <c r="A194" s="62" t="s">
        <v>115</v>
      </c>
      <c r="B194" s="78" t="s">
        <v>209</v>
      </c>
      <c r="C194" s="79">
        <f t="shared" si="42"/>
        <v>-6.4724919093851127E-2</v>
      </c>
      <c r="D194" s="79">
        <f t="shared" si="42"/>
        <v>-1.0380622837370242E-2</v>
      </c>
      <c r="E194" s="79">
        <f t="shared" si="42"/>
        <v>-0.14685314685314685</v>
      </c>
      <c r="F194" s="79">
        <f t="shared" si="42"/>
        <v>-2.8688524590163935E-2</v>
      </c>
      <c r="G194" s="79">
        <f t="shared" si="42"/>
        <v>-9.7046413502109699E-2</v>
      </c>
      <c r="H194" s="79">
        <f t="shared" si="42"/>
        <v>-0.11214953271028037</v>
      </c>
      <c r="I194" s="61">
        <v>0.28000000000000003</v>
      </c>
    </row>
    <row r="195" spans="1:9" x14ac:dyDescent="0.3">
      <c r="A195" s="64" t="s">
        <v>107</v>
      </c>
      <c r="B195" s="78" t="s">
        <v>209</v>
      </c>
      <c r="C195" s="79">
        <f t="shared" ref="C195:H201" si="43">(C123-B123)/B123</f>
        <v>-0.36521739130434783</v>
      </c>
      <c r="D195" s="79">
        <f t="shared" si="43"/>
        <v>0</v>
      </c>
      <c r="E195" s="79">
        <f t="shared" si="43"/>
        <v>0.20547945205479451</v>
      </c>
      <c r="F195" s="79">
        <f t="shared" si="43"/>
        <v>-0.52272727272727271</v>
      </c>
      <c r="G195" s="79">
        <f t="shared" si="43"/>
        <v>-0.2857142857142857</v>
      </c>
      <c r="H195" s="79">
        <f t="shared" si="43"/>
        <v>-0.16666666666666666</v>
      </c>
      <c r="I195" s="65">
        <v>3.02</v>
      </c>
    </row>
    <row r="196" spans="1:9" x14ac:dyDescent="0.3">
      <c r="A196" s="66" t="s">
        <v>103</v>
      </c>
      <c r="B196" s="68" t="s">
        <v>209</v>
      </c>
      <c r="C196" s="79">
        <f t="shared" si="43"/>
        <v>6.2924636772237905E-2</v>
      </c>
      <c r="D196" s="79">
        <f t="shared" si="43"/>
        <v>5.6577179008096501E-2</v>
      </c>
      <c r="E196" s="79">
        <f t="shared" si="43"/>
        <v>6.9866286104303038E-2</v>
      </c>
      <c r="F196" s="79">
        <f t="shared" si="43"/>
        <v>7.9251848629839056E-2</v>
      </c>
      <c r="G196" s="79">
        <f t="shared" si="43"/>
        <v>-4.4333387070772209E-2</v>
      </c>
      <c r="H196" s="79">
        <f t="shared" si="43"/>
        <v>0.18907444894286998</v>
      </c>
      <c r="I196" s="68">
        <v>0.06</v>
      </c>
    </row>
    <row r="197" spans="1:9" x14ac:dyDescent="0.3">
      <c r="A197" s="64" t="s">
        <v>104</v>
      </c>
      <c r="B197" s="65" t="s">
        <v>209</v>
      </c>
      <c r="C197" s="79">
        <f t="shared" si="43"/>
        <v>-1.3622603430877902E-2</v>
      </c>
      <c r="D197" s="79">
        <f t="shared" si="43"/>
        <v>4.4501278772378514E-2</v>
      </c>
      <c r="E197" s="79">
        <f t="shared" si="43"/>
        <v>-7.6395690499510283E-2</v>
      </c>
      <c r="F197" s="79">
        <f t="shared" si="43"/>
        <v>1.0604453870625663E-2</v>
      </c>
      <c r="G197" s="79">
        <f t="shared" si="43"/>
        <v>-3.1479538300104928E-2</v>
      </c>
      <c r="H197" s="79">
        <f t="shared" si="43"/>
        <v>0.19447453954496208</v>
      </c>
      <c r="I197" s="65">
        <v>7.0000000000000007E-2</v>
      </c>
    </row>
    <row r="198" spans="1:9" x14ac:dyDescent="0.3">
      <c r="A198" s="62" t="s">
        <v>113</v>
      </c>
      <c r="B198" s="61" t="s">
        <v>209</v>
      </c>
      <c r="C198" s="79">
        <f t="shared" si="43"/>
        <v>-1.3622603430877902E-2</v>
      </c>
      <c r="D198" s="79">
        <f t="shared" si="43"/>
        <v>4.4501278772378514E-2</v>
      </c>
      <c r="E198" s="79">
        <f t="shared" si="43"/>
        <v>-7.6395690499510283E-2</v>
      </c>
      <c r="F198" s="79">
        <f t="shared" si="43"/>
        <v>-0.12089077412513255</v>
      </c>
      <c r="G198" s="79">
        <f t="shared" si="43"/>
        <v>-9.6501809408926411E-3</v>
      </c>
      <c r="H198" s="79">
        <f t="shared" si="43"/>
        <v>0.20950060901339829</v>
      </c>
      <c r="I198" s="61">
        <v>0.06</v>
      </c>
    </row>
    <row r="199" spans="1:9" x14ac:dyDescent="0.3">
      <c r="A199" s="62" t="s">
        <v>114</v>
      </c>
      <c r="B199" s="61" t="s">
        <v>209</v>
      </c>
      <c r="C199" s="79" t="s">
        <v>209</v>
      </c>
      <c r="D199" s="79" t="s">
        <v>209</v>
      </c>
      <c r="E199" s="79" t="s">
        <v>209</v>
      </c>
      <c r="F199" s="79" t="s">
        <v>209</v>
      </c>
      <c r="G199" s="79">
        <f t="shared" si="43"/>
        <v>-0.24576271186440679</v>
      </c>
      <c r="H199" s="79">
        <f t="shared" si="43"/>
        <v>0.16853932584269662</v>
      </c>
      <c r="I199" s="61">
        <v>-0.03</v>
      </c>
    </row>
    <row r="200" spans="1:9" x14ac:dyDescent="0.3">
      <c r="A200" s="62" t="s">
        <v>115</v>
      </c>
      <c r="B200" s="61" t="s">
        <v>209</v>
      </c>
      <c r="C200" s="79" t="s">
        <v>209</v>
      </c>
      <c r="D200" s="79" t="s">
        <v>209</v>
      </c>
      <c r="E200" s="79" t="s">
        <v>209</v>
      </c>
      <c r="F200" s="79" t="s">
        <v>209</v>
      </c>
      <c r="G200" s="79">
        <f t="shared" si="43"/>
        <v>4.1666666666666664E-2</v>
      </c>
      <c r="H200" s="79">
        <f t="shared" si="43"/>
        <v>0.16</v>
      </c>
      <c r="I200" s="61">
        <v>-0.16</v>
      </c>
    </row>
    <row r="201" spans="1:9" x14ac:dyDescent="0.3">
      <c r="A201" s="62" t="s">
        <v>121</v>
      </c>
      <c r="B201" s="61" t="s">
        <v>209</v>
      </c>
      <c r="C201" s="79" t="s">
        <v>209</v>
      </c>
      <c r="D201" s="79" t="s">
        <v>209</v>
      </c>
      <c r="E201" s="79" t="s">
        <v>209</v>
      </c>
      <c r="F201" s="79" t="s">
        <v>209</v>
      </c>
      <c r="G201" s="79">
        <f t="shared" si="43"/>
        <v>-0.15094339622641509</v>
      </c>
      <c r="H201" s="79">
        <f t="shared" si="43"/>
        <v>-4.4444444444444446E-2</v>
      </c>
      <c r="I201" s="61">
        <v>0.42</v>
      </c>
    </row>
    <row r="202" spans="1:9" x14ac:dyDescent="0.3">
      <c r="A202" s="60" t="s">
        <v>108</v>
      </c>
      <c r="B202" s="61" t="s">
        <v>209</v>
      </c>
      <c r="C202" s="79">
        <f t="shared" ref="C202:H203" si="44">(C130-B130)/B130</f>
        <v>4.878048780487805E-2</v>
      </c>
      <c r="D202" s="79">
        <f t="shared" si="44"/>
        <v>-1.8720930232558139</v>
      </c>
      <c r="E202" s="79">
        <f t="shared" si="44"/>
        <v>-0.65333333333333332</v>
      </c>
      <c r="F202" s="79">
        <f t="shared" si="44"/>
        <v>-1.2692307692307692</v>
      </c>
      <c r="G202" s="79">
        <f t="shared" si="44"/>
        <v>0.5714285714285714</v>
      </c>
      <c r="H202" s="79">
        <f t="shared" si="44"/>
        <v>-4.6363636363636367</v>
      </c>
      <c r="I202" s="61">
        <v>0</v>
      </c>
    </row>
    <row r="203" spans="1:9" ht="15" thickBot="1" x14ac:dyDescent="0.35">
      <c r="A203" s="63" t="s">
        <v>105</v>
      </c>
      <c r="B203" s="67" t="s">
        <v>209</v>
      </c>
      <c r="C203" s="79">
        <f>(C131-B131)/B131</f>
        <v>5.8004640371229696E-2</v>
      </c>
      <c r="D203" s="79">
        <f t="shared" si="44"/>
        <v>6.0971089696071165E-2</v>
      </c>
      <c r="E203" s="79">
        <f t="shared" si="44"/>
        <v>5.9592430858806403E-2</v>
      </c>
      <c r="F203" s="79">
        <f t="shared" si="44"/>
        <v>7.4731433909388134E-2</v>
      </c>
      <c r="G203" s="79">
        <f t="shared" si="44"/>
        <v>-4.3817266150267146E-2</v>
      </c>
      <c r="H203" s="79">
        <f t="shared" si="44"/>
        <v>0.1907600994572628</v>
      </c>
      <c r="I203" s="67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G8" sqref="G8"/>
    </sheetView>
  </sheetViews>
  <sheetFormatPr defaultRowHeight="14.4" x14ac:dyDescent="0.3"/>
  <cols>
    <col min="1" max="1" width="48.77734375" style="41" customWidth="1"/>
    <col min="2" max="14" width="11.77734375" style="41" customWidth="1"/>
    <col min="15" max="16384" width="8.88671875" style="41"/>
  </cols>
  <sheetData>
    <row r="1" spans="1:15" ht="60" customHeight="1" x14ac:dyDescent="0.3">
      <c r="A1" s="52" t="s">
        <v>116</v>
      </c>
      <c r="B1" s="53">
        <f t="shared" ref="B1:G1" si="0">+C1-1</f>
        <v>2015</v>
      </c>
      <c r="C1" s="53">
        <f t="shared" si="0"/>
        <v>2016</v>
      </c>
      <c r="D1" s="53">
        <f t="shared" si="0"/>
        <v>2017</v>
      </c>
      <c r="E1" s="53">
        <f t="shared" si="0"/>
        <v>2018</v>
      </c>
      <c r="F1" s="53">
        <f t="shared" si="0"/>
        <v>2019</v>
      </c>
      <c r="G1" s="53">
        <f t="shared" si="0"/>
        <v>2020</v>
      </c>
      <c r="H1" s="53">
        <f>+I1-1</f>
        <v>2021</v>
      </c>
      <c r="I1" s="53">
        <v>2022</v>
      </c>
      <c r="J1" s="69">
        <f>+I1+1</f>
        <v>2023</v>
      </c>
      <c r="K1" s="69">
        <f t="shared" ref="K1:N1" si="1">+J1+1</f>
        <v>2024</v>
      </c>
      <c r="L1" s="69">
        <f t="shared" si="1"/>
        <v>2025</v>
      </c>
      <c r="M1" s="69">
        <f t="shared" si="1"/>
        <v>2026</v>
      </c>
      <c r="N1" s="69">
        <f t="shared" si="1"/>
        <v>2027</v>
      </c>
    </row>
    <row r="2" spans="1:15" x14ac:dyDescent="0.3">
      <c r="A2" s="70" t="s">
        <v>128</v>
      </c>
      <c r="B2" s="70"/>
      <c r="C2" s="70"/>
      <c r="D2" s="70"/>
      <c r="E2" s="70"/>
      <c r="F2" s="70"/>
      <c r="G2" s="70"/>
      <c r="H2" s="70"/>
      <c r="I2" s="70"/>
      <c r="J2" s="69"/>
      <c r="K2" s="69"/>
      <c r="L2" s="69"/>
      <c r="M2" s="69"/>
      <c r="N2" s="69"/>
    </row>
    <row r="3" spans="1:15" x14ac:dyDescent="0.3">
      <c r="A3" s="21" t="s">
        <v>139</v>
      </c>
      <c r="B3" s="8">
        <f>[1]Historicals!B124</f>
        <v>28701</v>
      </c>
      <c r="C3" s="8">
        <f>[1]Historicals!C124</f>
        <v>30507</v>
      </c>
      <c r="D3" s="8">
        <f>[1]Historicals!D124</f>
        <v>32233</v>
      </c>
      <c r="E3" s="8">
        <f>[1]Historicals!E124</f>
        <v>34485</v>
      </c>
      <c r="F3" s="8">
        <f>[1]Historicals!F124</f>
        <v>37218</v>
      </c>
      <c r="G3" s="8">
        <f>[1]Historicals!G124</f>
        <v>35568</v>
      </c>
      <c r="H3" s="8">
        <f>[1]Historicals!H124</f>
        <v>42293</v>
      </c>
      <c r="I3" s="8">
        <f>[1]Historicals!I124</f>
        <v>44436</v>
      </c>
      <c r="J3" s="8">
        <f>J5+J17+J14</f>
        <v>13104</v>
      </c>
      <c r="K3" s="8">
        <f t="shared" ref="K3:N3" si="2">K5+K17+K14</f>
        <v>12468.76580827828</v>
      </c>
      <c r="L3" s="8">
        <f t="shared" si="2"/>
        <v>12140.427937386408</v>
      </c>
      <c r="M3" s="8">
        <f t="shared" si="2"/>
        <v>11828.159454000772</v>
      </c>
      <c r="N3" s="8">
        <f t="shared" si="2"/>
        <v>11531.173896254746</v>
      </c>
      <c r="O3" s="41" t="s">
        <v>142</v>
      </c>
    </row>
    <row r="4" spans="1:15" x14ac:dyDescent="0.3">
      <c r="A4" s="22" t="s">
        <v>129</v>
      </c>
      <c r="B4" s="72" t="str">
        <f t="shared" ref="B4:H4" si="3">+IFERROR(B3/A3-1,"nm")</f>
        <v>nm</v>
      </c>
      <c r="C4" s="72">
        <f t="shared" si="3"/>
        <v>6.2924636772237807E-2</v>
      </c>
      <c r="D4" s="72">
        <f t="shared" si="3"/>
        <v>5.6577179008096445E-2</v>
      </c>
      <c r="E4" s="72">
        <f t="shared" si="3"/>
        <v>6.9866286104303121E-2</v>
      </c>
      <c r="F4" s="72">
        <f t="shared" si="3"/>
        <v>7.9251848629839028E-2</v>
      </c>
      <c r="G4" s="72">
        <f t="shared" si="3"/>
        <v>-4.4333387070772168E-2</v>
      </c>
      <c r="H4" s="72">
        <f t="shared" si="3"/>
        <v>0.18907444894286995</v>
      </c>
      <c r="I4" s="72">
        <f>+IFERROR(I3/H3-1,"nm")</f>
        <v>5.0670323694228303E-2</v>
      </c>
      <c r="J4" s="72">
        <f t="shared" ref="J4:N4" si="4">+IFERROR(J3/I3-1,"nm")</f>
        <v>-0.70510396975425338</v>
      </c>
      <c r="K4" s="72">
        <f t="shared" si="4"/>
        <v>-4.8476357732121444E-2</v>
      </c>
      <c r="L4" s="72">
        <f t="shared" si="4"/>
        <v>-2.6332828440316147E-2</v>
      </c>
      <c r="M4" s="72">
        <f t="shared" si="4"/>
        <v>-2.5721373661302893E-2</v>
      </c>
      <c r="N4" s="72">
        <f t="shared" si="4"/>
        <v>-2.5108349181543477E-2</v>
      </c>
    </row>
    <row r="5" spans="1:15" x14ac:dyDescent="0.3">
      <c r="A5" s="21" t="s">
        <v>130</v>
      </c>
      <c r="B5" s="42">
        <f t="shared" ref="B5:H5" si="5">B8+B11</f>
        <v>4746</v>
      </c>
      <c r="C5" s="42">
        <f t="shared" si="5"/>
        <v>5180</v>
      </c>
      <c r="D5" s="42">
        <f t="shared" si="5"/>
        <v>5532</v>
      </c>
      <c r="E5" s="42">
        <f t="shared" si="5"/>
        <v>4983</v>
      </c>
      <c r="F5" s="42">
        <f t="shared" si="5"/>
        <v>5408</v>
      </c>
      <c r="G5" s="42">
        <f t="shared" si="5"/>
        <v>3560</v>
      </c>
      <c r="H5" s="42">
        <f t="shared" si="5"/>
        <v>7500</v>
      </c>
      <c r="I5" s="42">
        <f>I8+I11</f>
        <v>7417</v>
      </c>
      <c r="J5" s="80">
        <f>J8+J11</f>
        <v>7054</v>
      </c>
      <c r="K5" s="80">
        <f t="shared" ref="K5:N5" si="6">J5*(1+J6)</f>
        <v>6708.76580827828</v>
      </c>
      <c r="L5" s="80">
        <f t="shared" si="6"/>
        <v>6380.4279373864083</v>
      </c>
      <c r="M5" s="80">
        <f t="shared" si="6"/>
        <v>6068.1594540007718</v>
      </c>
      <c r="N5" s="80">
        <f t="shared" si="6"/>
        <v>5771.1738962547452</v>
      </c>
      <c r="O5" s="41" t="s">
        <v>143</v>
      </c>
    </row>
    <row r="6" spans="1:15" x14ac:dyDescent="0.3">
      <c r="A6" s="22" t="s">
        <v>129</v>
      </c>
      <c r="B6" s="72" t="str">
        <f t="shared" ref="B6:H6" si="7">+IFERROR(B5/A5-1,"nm")</f>
        <v>nm</v>
      </c>
      <c r="C6" s="72">
        <f t="shared" si="7"/>
        <v>9.1445427728613637E-2</v>
      </c>
      <c r="D6" s="72">
        <f t="shared" si="7"/>
        <v>6.7953667953667862E-2</v>
      </c>
      <c r="E6" s="72">
        <f t="shared" si="7"/>
        <v>-9.924078091106292E-2</v>
      </c>
      <c r="F6" s="72">
        <f t="shared" si="7"/>
        <v>8.5289985952237579E-2</v>
      </c>
      <c r="G6" s="72">
        <f t="shared" si="7"/>
        <v>-0.34171597633136097</v>
      </c>
      <c r="H6" s="72">
        <f t="shared" si="7"/>
        <v>1.106741573033708</v>
      </c>
      <c r="I6" s="72">
        <f>+IFERROR(I5/H5-1,"0")</f>
        <v>-1.1066666666666669E-2</v>
      </c>
      <c r="J6" s="72">
        <f t="shared" ref="J6:N6" si="8">+IFERROR(J5/I5-1,"nm")</f>
        <v>-4.8941620601321234E-2</v>
      </c>
      <c r="K6" s="72">
        <f t="shared" si="8"/>
        <v>-4.8941620601321234E-2</v>
      </c>
      <c r="L6" s="72">
        <f t="shared" si="8"/>
        <v>-4.8941620601321234E-2</v>
      </c>
      <c r="M6" s="72">
        <f t="shared" si="8"/>
        <v>-4.8941620601321234E-2</v>
      </c>
      <c r="N6" s="72">
        <f t="shared" si="8"/>
        <v>-4.8941620601321234E-2</v>
      </c>
    </row>
    <row r="7" spans="1:15" x14ac:dyDescent="0.3">
      <c r="A7" s="22" t="s">
        <v>131</v>
      </c>
      <c r="B7" s="72">
        <f>+IFERROR(B5/B$3,"nm")</f>
        <v>0.16536009198285773</v>
      </c>
      <c r="C7" s="72">
        <f t="shared" ref="C7:N7" si="9">+IFERROR(C5/C$3,"nm")</f>
        <v>0.16979709574851673</v>
      </c>
      <c r="D7" s="72">
        <f t="shared" si="9"/>
        <v>0.17162535289920269</v>
      </c>
      <c r="E7" s="72">
        <f t="shared" si="9"/>
        <v>0.1444976076555024</v>
      </c>
      <c r="F7" s="72">
        <f t="shared" si="9"/>
        <v>0.14530603471438552</v>
      </c>
      <c r="G7" s="72">
        <f t="shared" si="9"/>
        <v>0.10008996851102114</v>
      </c>
      <c r="H7" s="72">
        <f t="shared" si="9"/>
        <v>0.17733431064242311</v>
      </c>
      <c r="I7" s="72">
        <f t="shared" si="9"/>
        <v>0.16691421370060311</v>
      </c>
      <c r="J7" s="72">
        <f t="shared" si="9"/>
        <v>0.53830891330891328</v>
      </c>
      <c r="K7" s="72">
        <f t="shared" si="9"/>
        <v>0.53804569846232797</v>
      </c>
      <c r="L7" s="72">
        <f t="shared" si="9"/>
        <v>0.52555214447901799</v>
      </c>
      <c r="M7" s="72">
        <f t="shared" si="9"/>
        <v>0.51302651757440332</v>
      </c>
      <c r="N7" s="72">
        <f t="shared" si="9"/>
        <v>0.50048450818430434</v>
      </c>
    </row>
    <row r="8" spans="1:15" x14ac:dyDescent="0.3">
      <c r="A8" s="21" t="s">
        <v>132</v>
      </c>
      <c r="B8" s="42">
        <f>[1]Historicals!B172</f>
        <v>513</v>
      </c>
      <c r="C8" s="42">
        <f>[1]Historicals!C172</f>
        <v>538</v>
      </c>
      <c r="D8" s="42">
        <f>[1]Historicals!D172</f>
        <v>587</v>
      </c>
      <c r="E8" s="42">
        <f>[1]Historicals!E172</f>
        <v>604</v>
      </c>
      <c r="F8" s="42">
        <f>[1]Historicals!F172</f>
        <v>558</v>
      </c>
      <c r="G8" s="42">
        <f>[1]Historicals!G172</f>
        <v>584</v>
      </c>
      <c r="H8" s="42">
        <f>[1]Historicals!H172</f>
        <v>577</v>
      </c>
      <c r="I8" s="42">
        <f>[1]Historicals!I172</f>
        <v>561</v>
      </c>
      <c r="J8" s="80">
        <f>156+703</f>
        <v>859</v>
      </c>
      <c r="K8" s="80">
        <f t="shared" ref="K8:N8" si="10">J8*(1+J9)</f>
        <v>1315.2959001782531</v>
      </c>
      <c r="L8" s="80">
        <f t="shared" si="10"/>
        <v>2013.9735797738315</v>
      </c>
      <c r="M8" s="80">
        <f t="shared" si="10"/>
        <v>3083.7848574433533</v>
      </c>
      <c r="N8" s="80">
        <f t="shared" si="10"/>
        <v>4721.8737835006068</v>
      </c>
      <c r="O8" s="41" t="s">
        <v>144</v>
      </c>
    </row>
    <row r="9" spans="1:15" x14ac:dyDescent="0.3">
      <c r="A9" s="22" t="s">
        <v>129</v>
      </c>
      <c r="B9" s="72" t="str">
        <f t="shared" ref="B9:H9" si="11">+IFERROR(B8/A8-1,"nm")</f>
        <v>nm</v>
      </c>
      <c r="C9" s="72">
        <f t="shared" si="11"/>
        <v>4.8732943469785628E-2</v>
      </c>
      <c r="D9" s="72">
        <f t="shared" si="11"/>
        <v>9.1078066914498157E-2</v>
      </c>
      <c r="E9" s="72">
        <f t="shared" si="11"/>
        <v>2.8960817717206044E-2</v>
      </c>
      <c r="F9" s="72">
        <f t="shared" si="11"/>
        <v>-7.6158940397350938E-2</v>
      </c>
      <c r="G9" s="72">
        <f t="shared" si="11"/>
        <v>4.6594982078853153E-2</v>
      </c>
      <c r="H9" s="72">
        <f t="shared" si="11"/>
        <v>-1.1986301369863006E-2</v>
      </c>
      <c r="I9" s="72">
        <f>+IFERROR(I8/H8-1,"0")</f>
        <v>-2.7729636048526851E-2</v>
      </c>
      <c r="J9" s="72">
        <f>+IFERROR(J8/I8-1,"0")</f>
        <v>0.5311942959001783</v>
      </c>
      <c r="K9" s="72">
        <f t="shared" ref="K9:N9" si="12">+IFERROR(K8/J8-1,"nm")</f>
        <v>0.5311942959001783</v>
      </c>
      <c r="L9" s="72">
        <f t="shared" si="12"/>
        <v>0.5311942959001783</v>
      </c>
      <c r="M9" s="72">
        <f t="shared" si="12"/>
        <v>0.5311942959001783</v>
      </c>
      <c r="N9" s="72">
        <f t="shared" si="12"/>
        <v>0.5311942959001783</v>
      </c>
    </row>
    <row r="10" spans="1:15" x14ac:dyDescent="0.3">
      <c r="A10" s="22" t="s">
        <v>133</v>
      </c>
      <c r="B10" s="72">
        <f>+IFERROR(B8/B$3,"nm")</f>
        <v>1.7873941674506115E-2</v>
      </c>
      <c r="C10" s="72">
        <f t="shared" ref="C10:N10" si="13">+IFERROR(C8/C$3,"nm")</f>
        <v>1.763529681712394E-2</v>
      </c>
      <c r="D10" s="72">
        <f t="shared" si="13"/>
        <v>1.8211150063599416E-2</v>
      </c>
      <c r="E10" s="72">
        <f t="shared" si="13"/>
        <v>1.7514861534000292E-2</v>
      </c>
      <c r="F10" s="72">
        <f t="shared" si="13"/>
        <v>1.4992745445752055E-2</v>
      </c>
      <c r="G10" s="72">
        <f t="shared" si="13"/>
        <v>1.6419253261358523E-2</v>
      </c>
      <c r="H10" s="72">
        <f t="shared" si="13"/>
        <v>1.3642919632090416E-2</v>
      </c>
      <c r="I10" s="72">
        <f t="shared" si="13"/>
        <v>1.2624898730758845E-2</v>
      </c>
      <c r="J10" s="72">
        <f t="shared" si="13"/>
        <v>6.5552503052503056E-2</v>
      </c>
      <c r="K10" s="72">
        <f t="shared" si="13"/>
        <v>0.10548725675038342</v>
      </c>
      <c r="L10" s="72">
        <f t="shared" si="13"/>
        <v>0.16588983437493224</v>
      </c>
      <c r="M10" s="72">
        <f t="shared" si="13"/>
        <v>0.26071552970147777</v>
      </c>
      <c r="N10" s="72">
        <f t="shared" si="13"/>
        <v>0.40948769188488626</v>
      </c>
    </row>
    <row r="11" spans="1:15" x14ac:dyDescent="0.3">
      <c r="A11" s="21" t="s">
        <v>134</v>
      </c>
      <c r="B11" s="42">
        <f>[1]Historicals!B142</f>
        <v>4233</v>
      </c>
      <c r="C11" s="42">
        <f>[1]Historicals!C142</f>
        <v>4642</v>
      </c>
      <c r="D11" s="42">
        <f>[1]Historicals!D142</f>
        <v>4945</v>
      </c>
      <c r="E11" s="42">
        <f>[1]Historicals!E142</f>
        <v>4379</v>
      </c>
      <c r="F11" s="42">
        <f>[1]Historicals!F142</f>
        <v>4850</v>
      </c>
      <c r="G11" s="42">
        <f>[1]Historicals!G142</f>
        <v>2976</v>
      </c>
      <c r="H11" s="42">
        <f>[1]Historicals!H142</f>
        <v>6923</v>
      </c>
      <c r="I11" s="42">
        <f>[1]Historicals!I142</f>
        <v>6856</v>
      </c>
      <c r="J11" s="80">
        <v>6195</v>
      </c>
      <c r="K11" s="80">
        <f t="shared" ref="K11:N11" si="14">J11*(1+J12)</f>
        <v>5597.7282672112024</v>
      </c>
      <c r="L11" s="80">
        <f t="shared" si="14"/>
        <v>5058.040638181651</v>
      </c>
      <c r="M11" s="80">
        <f t="shared" si="14"/>
        <v>4570.3853199438927</v>
      </c>
      <c r="N11" s="80">
        <f t="shared" si="14"/>
        <v>4129.7457784498856</v>
      </c>
      <c r="O11" s="41" t="s">
        <v>145</v>
      </c>
    </row>
    <row r="12" spans="1:15" x14ac:dyDescent="0.3">
      <c r="A12" s="22" t="s">
        <v>129</v>
      </c>
      <c r="B12" s="72" t="str">
        <f t="shared" ref="B12:H12" si="15">+IFERROR(B11/A11-1,"nm")</f>
        <v>nm</v>
      </c>
      <c r="C12" s="72">
        <f t="shared" si="15"/>
        <v>9.6621781242617555E-2</v>
      </c>
      <c r="D12" s="72">
        <f t="shared" si="15"/>
        <v>6.5273588970271357E-2</v>
      </c>
      <c r="E12" s="72">
        <f t="shared" si="15"/>
        <v>-0.11445904954499497</v>
      </c>
      <c r="F12" s="72">
        <f t="shared" si="15"/>
        <v>0.10755880337976698</v>
      </c>
      <c r="G12" s="72">
        <f t="shared" si="15"/>
        <v>-0.38639175257731961</v>
      </c>
      <c r="H12" s="72">
        <f t="shared" si="15"/>
        <v>1.32627688172043</v>
      </c>
      <c r="I12" s="72">
        <f>+IFERROR(I11/H11-1,"0")</f>
        <v>-9.67788530983682E-3</v>
      </c>
      <c r="J12" s="72">
        <f>+IFERROR(J11/I11-1,"0")</f>
        <v>-9.6411901983663895E-2</v>
      </c>
      <c r="K12" s="72">
        <f t="shared" ref="K12:N12" si="16">+IFERROR(K11/J11-1,"nm")</f>
        <v>-9.6411901983663895E-2</v>
      </c>
      <c r="L12" s="72">
        <f t="shared" si="16"/>
        <v>-9.6411901983663895E-2</v>
      </c>
      <c r="M12" s="72">
        <f t="shared" si="16"/>
        <v>-9.6411901983663895E-2</v>
      </c>
      <c r="N12" s="72">
        <f t="shared" si="16"/>
        <v>-9.6411901983663895E-2</v>
      </c>
    </row>
    <row r="13" spans="1:15" x14ac:dyDescent="0.3">
      <c r="A13" s="22" t="s">
        <v>131</v>
      </c>
      <c r="B13" s="72">
        <f>+IFERROR(B11/B$3,"nm")</f>
        <v>0.14748615030835163</v>
      </c>
      <c r="C13" s="72">
        <f t="shared" ref="C13:N13" si="17">+IFERROR(C11/C$3,"nm")</f>
        <v>0.15216179893139278</v>
      </c>
      <c r="D13" s="72">
        <f t="shared" si="17"/>
        <v>0.15341420283560325</v>
      </c>
      <c r="E13" s="72">
        <f t="shared" si="17"/>
        <v>0.12698274612150209</v>
      </c>
      <c r="F13" s="72">
        <f t="shared" si="17"/>
        <v>0.13031328926863345</v>
      </c>
      <c r="G13" s="72">
        <f t="shared" si="17"/>
        <v>8.3670715249662617E-2</v>
      </c>
      <c r="H13" s="72">
        <f t="shared" si="17"/>
        <v>0.16369139101033267</v>
      </c>
      <c r="I13" s="72">
        <f t="shared" si="17"/>
        <v>0.15428931496984427</v>
      </c>
      <c r="J13" s="72">
        <f t="shared" si="17"/>
        <v>0.47275641025641024</v>
      </c>
      <c r="K13" s="72">
        <f t="shared" si="17"/>
        <v>0.44894004372868651</v>
      </c>
      <c r="L13" s="72">
        <f t="shared" si="17"/>
        <v>0.41662787047278882</v>
      </c>
      <c r="M13" s="72">
        <f t="shared" si="17"/>
        <v>0.38639869015276079</v>
      </c>
      <c r="N13" s="72">
        <f t="shared" si="17"/>
        <v>0.35813749888822694</v>
      </c>
    </row>
    <row r="14" spans="1:15" x14ac:dyDescent="0.3">
      <c r="A14" s="21" t="s">
        <v>135</v>
      </c>
      <c r="B14" s="42">
        <f>[1]Historicals!B164</f>
        <v>963</v>
      </c>
      <c r="C14" s="42">
        <f>[1]Historicals!C164</f>
        <v>1143</v>
      </c>
      <c r="D14" s="42">
        <f>[1]Historicals!D164</f>
        <v>1092</v>
      </c>
      <c r="E14" s="42">
        <f>[1]Historicals!E164</f>
        <v>1028</v>
      </c>
      <c r="F14" s="42">
        <f>[1]Historicals!F164</f>
        <v>1119</v>
      </c>
      <c r="G14" s="42">
        <f>[1]Historicals!G164</f>
        <v>1086</v>
      </c>
      <c r="H14" s="42">
        <f>[1]Historicals!H164</f>
        <v>695</v>
      </c>
      <c r="I14" s="42">
        <f>[1]Historicals!I164</f>
        <v>758</v>
      </c>
      <c r="J14" s="42">
        <v>969</v>
      </c>
      <c r="K14" s="42">
        <f t="shared" ref="K14:N14" si="18">J14*(1+J15)</f>
        <v>969</v>
      </c>
      <c r="L14" s="42">
        <f t="shared" si="18"/>
        <v>969</v>
      </c>
      <c r="M14" s="42">
        <f t="shared" si="18"/>
        <v>969</v>
      </c>
      <c r="N14" s="42">
        <f t="shared" si="18"/>
        <v>969</v>
      </c>
      <c r="O14" s="41" t="s">
        <v>146</v>
      </c>
    </row>
    <row r="15" spans="1:15" x14ac:dyDescent="0.3">
      <c r="A15" s="22" t="s">
        <v>129</v>
      </c>
      <c r="B15" s="72" t="str">
        <f t="shared" ref="B15:G15" si="19">+IFERROR(B14/A14-1,"nm")</f>
        <v>nm</v>
      </c>
      <c r="C15" s="72">
        <f t="shared" si="19"/>
        <v>0.18691588785046731</v>
      </c>
      <c r="D15" s="72">
        <f t="shared" si="19"/>
        <v>-4.4619422572178435E-2</v>
      </c>
      <c r="E15" s="72">
        <f t="shared" si="19"/>
        <v>-5.8608058608058622E-2</v>
      </c>
      <c r="F15" s="72">
        <f t="shared" si="19"/>
        <v>8.8521400778210024E-2</v>
      </c>
      <c r="G15" s="72">
        <f t="shared" si="19"/>
        <v>-2.9490616621983934E-2</v>
      </c>
      <c r="H15" s="72">
        <f>+IFERROR(I14/G14-1,"nm")</f>
        <v>-0.30202578268876612</v>
      </c>
      <c r="I15" s="72" t="str">
        <f>+IFERROR(#REF!/I14-1,"0")</f>
        <v>0</v>
      </c>
      <c r="J15" s="72" t="str">
        <f>+IFERROR(J14/#REF!-1,"0")</f>
        <v>0</v>
      </c>
      <c r="K15" s="72">
        <f t="shared" ref="K15:N15" si="20">+IFERROR(K14/J14-1,"nm")</f>
        <v>0</v>
      </c>
      <c r="L15" s="72">
        <f t="shared" si="20"/>
        <v>0</v>
      </c>
      <c r="M15" s="72">
        <f t="shared" si="20"/>
        <v>0</v>
      </c>
      <c r="N15" s="72">
        <f t="shared" si="20"/>
        <v>0</v>
      </c>
    </row>
    <row r="16" spans="1:15" x14ac:dyDescent="0.3">
      <c r="A16" s="22" t="s">
        <v>133</v>
      </c>
      <c r="B16" s="72">
        <f>+IFERROR(B14/B$3,"nm")</f>
        <v>3.3552837880213231E-2</v>
      </c>
      <c r="C16" s="72">
        <f t="shared" ref="C16:G16" si="21">+IFERROR(C14/C$3,"nm")</f>
        <v>3.7466810895859966E-2</v>
      </c>
      <c r="D16" s="72">
        <f t="shared" si="21"/>
        <v>3.3878323457326345E-2</v>
      </c>
      <c r="E16" s="72">
        <f t="shared" si="21"/>
        <v>2.9810062345947512E-2</v>
      </c>
      <c r="F16" s="72">
        <f t="shared" si="21"/>
        <v>3.0066097049814607E-2</v>
      </c>
      <c r="G16" s="72">
        <f t="shared" si="21"/>
        <v>3.053306342780027E-2</v>
      </c>
      <c r="H16" s="72">
        <f>+IFERROR(I14/H$3,"nm")</f>
        <v>1.7922587662260896E-2</v>
      </c>
      <c r="I16" s="72" t="str">
        <f>+IFERROR(#REF!/I$3,"nm")</f>
        <v>nm</v>
      </c>
      <c r="J16" s="72">
        <f t="shared" ref="J16:N16" si="22">+IFERROR(J14/J$3,"nm")</f>
        <v>7.3946886446886448E-2</v>
      </c>
      <c r="K16" s="72">
        <f t="shared" si="22"/>
        <v>7.771418718576463E-2</v>
      </c>
      <c r="L16" s="72">
        <f t="shared" si="22"/>
        <v>7.981596736108186E-2</v>
      </c>
      <c r="M16" s="72">
        <f t="shared" si="22"/>
        <v>8.1923143137222779E-2</v>
      </c>
      <c r="N16" s="72">
        <f t="shared" si="22"/>
        <v>8.4033074925244616E-2</v>
      </c>
    </row>
    <row r="17" spans="1:15" x14ac:dyDescent="0.3">
      <c r="A17" s="8" t="s">
        <v>141</v>
      </c>
      <c r="B17" s="42">
        <f>[1]Historicals!B153</f>
        <v>3011</v>
      </c>
      <c r="C17" s="42">
        <f>[1]Historicals!C153</f>
        <v>3520</v>
      </c>
      <c r="D17" s="42">
        <f>[1]Historicals!D153</f>
        <v>3989</v>
      </c>
      <c r="E17" s="42">
        <f>[1]Historicals!E153</f>
        <v>4454</v>
      </c>
      <c r="F17" s="42">
        <f>[1]Historicals!F153</f>
        <v>4744</v>
      </c>
      <c r="G17" s="42">
        <f>[1]Historicals!G153</f>
        <v>4866</v>
      </c>
      <c r="H17" s="42">
        <f>[1]Historicals!H153</f>
        <v>4904</v>
      </c>
      <c r="I17" s="42">
        <f>[1]Historicals!I153</f>
        <v>4791</v>
      </c>
      <c r="J17" s="42">
        <v>5081</v>
      </c>
      <c r="K17" s="42">
        <v>4791</v>
      </c>
      <c r="L17" s="42">
        <v>4791</v>
      </c>
      <c r="M17" s="42">
        <v>4791</v>
      </c>
      <c r="N17" s="42">
        <v>4791</v>
      </c>
      <c r="O17" s="41" t="s">
        <v>147</v>
      </c>
    </row>
    <row r="18" spans="1:15" x14ac:dyDescent="0.3">
      <c r="A18" s="22" t="s">
        <v>129</v>
      </c>
      <c r="B18" s="72" t="str">
        <f t="shared" ref="B18:H18" si="23">+IFERROR(B17/A17-1,"nm")</f>
        <v>nm</v>
      </c>
      <c r="C18" s="72">
        <f t="shared" si="23"/>
        <v>0.16904682829624718</v>
      </c>
      <c r="D18" s="72">
        <f t="shared" si="23"/>
        <v>0.13323863636363642</v>
      </c>
      <c r="E18" s="72">
        <f t="shared" si="23"/>
        <v>0.11657056906492858</v>
      </c>
      <c r="F18" s="72">
        <f t="shared" si="23"/>
        <v>6.5110013471037176E-2</v>
      </c>
      <c r="G18" s="72">
        <f t="shared" si="23"/>
        <v>2.5716694772343951E-2</v>
      </c>
      <c r="H18" s="72">
        <f t="shared" si="23"/>
        <v>7.8092889436909285E-3</v>
      </c>
      <c r="I18" s="72">
        <f>+IFERROR(I17/H17-1,"0")</f>
        <v>-2.3042414355628038E-2</v>
      </c>
      <c r="J18" s="72">
        <f t="shared" ref="J18:N18" si="24">+IFERROR(J17/I17-1,"nm")</f>
        <v>6.0530160718012871E-2</v>
      </c>
      <c r="K18" s="72">
        <f t="shared" si="24"/>
        <v>-5.7075378862428638E-2</v>
      </c>
      <c r="L18" s="72">
        <f t="shared" si="24"/>
        <v>0</v>
      </c>
      <c r="M18" s="72">
        <f t="shared" si="24"/>
        <v>0</v>
      </c>
      <c r="N18" s="72">
        <f t="shared" si="24"/>
        <v>0</v>
      </c>
    </row>
    <row r="19" spans="1:15" x14ac:dyDescent="0.3">
      <c r="A19" s="22" t="s">
        <v>133</v>
      </c>
      <c r="B19" s="72">
        <f>+IFERROR(B17/B$3,"nm")</f>
        <v>0.10490923661196475</v>
      </c>
      <c r="C19" s="72">
        <f t="shared" ref="C19:N19" si="25">+IFERROR(C17/C$3,"nm")</f>
        <v>0.11538335463991871</v>
      </c>
      <c r="D19" s="72">
        <f t="shared" si="25"/>
        <v>0.12375515775757764</v>
      </c>
      <c r="E19" s="72">
        <f t="shared" si="25"/>
        <v>0.12915760475569088</v>
      </c>
      <c r="F19" s="72">
        <f t="shared" si="25"/>
        <v>0.12746520500832931</v>
      </c>
      <c r="G19" s="72">
        <f t="shared" si="25"/>
        <v>0.13680836707152497</v>
      </c>
      <c r="H19" s="72">
        <f t="shared" si="25"/>
        <v>0.11595299458539238</v>
      </c>
      <c r="I19" s="72">
        <f t="shared" si="25"/>
        <v>0.10781798541722927</v>
      </c>
      <c r="J19" s="72">
        <f t="shared" si="25"/>
        <v>0.38774420024420025</v>
      </c>
      <c r="K19" s="72">
        <f t="shared" si="25"/>
        <v>0.38424011435190747</v>
      </c>
      <c r="L19" s="72">
        <f t="shared" si="25"/>
        <v>0.39463188815990013</v>
      </c>
      <c r="M19" s="72">
        <f t="shared" si="25"/>
        <v>0.40505033928837392</v>
      </c>
      <c r="N19" s="72">
        <f t="shared" si="25"/>
        <v>0.41548241689045096</v>
      </c>
    </row>
    <row r="20" spans="1:15" x14ac:dyDescent="0.3">
      <c r="A20" s="71" t="str">
        <f>+[2]Historicals!A107</f>
        <v>North America</v>
      </c>
      <c r="B20" s="71"/>
      <c r="C20" s="71"/>
      <c r="D20" s="71"/>
      <c r="E20" s="71"/>
      <c r="F20" s="71"/>
      <c r="G20" s="71"/>
      <c r="H20" s="71"/>
      <c r="I20" s="71"/>
      <c r="J20" s="69"/>
      <c r="K20" s="69"/>
      <c r="L20" s="69"/>
      <c r="M20" s="69"/>
      <c r="N20" s="69"/>
    </row>
    <row r="21" spans="1:15" x14ac:dyDescent="0.3">
      <c r="A21" s="8" t="s">
        <v>136</v>
      </c>
      <c r="B21" s="8">
        <f>+[1]Historicals!B107</f>
        <v>13740</v>
      </c>
      <c r="C21" s="8">
        <f>+[1]Historicals!C107</f>
        <v>14764</v>
      </c>
      <c r="D21" s="8">
        <f>+[1]Historicals!D107</f>
        <v>15216</v>
      </c>
      <c r="E21" s="8">
        <f>+[1]Historicals!E107</f>
        <v>14855</v>
      </c>
      <c r="F21" s="8">
        <f>+[1]Historicals!F107</f>
        <v>15902</v>
      </c>
      <c r="G21" s="8">
        <f>+[1]Historicals!G107</f>
        <v>14484</v>
      </c>
      <c r="H21" s="8">
        <f>+[1]Historicals!H107</f>
        <v>17179</v>
      </c>
      <c r="I21" s="8">
        <f>+[1]Historicals!I107</f>
        <v>18353</v>
      </c>
      <c r="J21" s="8">
        <f>+SUM(J23+J27+J31)</f>
        <v>21608</v>
      </c>
      <c r="K21" s="8">
        <f t="shared" ref="K21:N21" si="26">+SUM(K23+K27+K31)</f>
        <v>21608</v>
      </c>
      <c r="L21" s="8">
        <f t="shared" si="26"/>
        <v>21608</v>
      </c>
      <c r="M21" s="8">
        <f t="shared" si="26"/>
        <v>21608</v>
      </c>
      <c r="N21" s="8">
        <f t="shared" si="26"/>
        <v>21608</v>
      </c>
    </row>
    <row r="22" spans="1:15" x14ac:dyDescent="0.3">
      <c r="A22" s="23" t="s">
        <v>129</v>
      </c>
      <c r="B22" s="72" t="str">
        <f t="shared" ref="B22:H22" si="27">+IFERROR(B21/A21-1,"nm")</f>
        <v>nm</v>
      </c>
      <c r="C22" s="72">
        <f t="shared" si="27"/>
        <v>7.4526928675400228E-2</v>
      </c>
      <c r="D22" s="72">
        <f t="shared" si="27"/>
        <v>3.0615009482525046E-2</v>
      </c>
      <c r="E22" s="72">
        <f t="shared" si="27"/>
        <v>-2.372502628811779E-2</v>
      </c>
      <c r="F22" s="72">
        <f t="shared" si="27"/>
        <v>7.0481319421070276E-2</v>
      </c>
      <c r="G22" s="72">
        <f t="shared" si="27"/>
        <v>-8.9171173437303519E-2</v>
      </c>
      <c r="H22" s="72">
        <f t="shared" si="27"/>
        <v>0.18606738470035911</v>
      </c>
      <c r="I22" s="72">
        <f>+IFERROR(I21/H21-1,"nm")</f>
        <v>6.8339251411607238E-2</v>
      </c>
      <c r="J22" s="72">
        <f t="shared" ref="J22:N22" si="28">+IFERROR(J21/I21-1,"nm")</f>
        <v>0.17735520078461287</v>
      </c>
      <c r="K22" s="72">
        <f t="shared" si="28"/>
        <v>0</v>
      </c>
      <c r="L22" s="72">
        <f t="shared" si="28"/>
        <v>0</v>
      </c>
      <c r="M22" s="72">
        <f t="shared" si="28"/>
        <v>0</v>
      </c>
      <c r="N22" s="72">
        <f t="shared" si="28"/>
        <v>0</v>
      </c>
    </row>
    <row r="23" spans="1:15" x14ac:dyDescent="0.3">
      <c r="A23" s="24" t="s">
        <v>113</v>
      </c>
      <c r="B23" s="8">
        <f>+[1]Historicals!B108</f>
        <v>8506</v>
      </c>
      <c r="C23" s="8">
        <f>+[1]Historicals!C108</f>
        <v>9299</v>
      </c>
      <c r="D23" s="8">
        <f>+[1]Historicals!D108</f>
        <v>9684</v>
      </c>
      <c r="E23" s="8">
        <f>+[1]Historicals!E108</f>
        <v>9322</v>
      </c>
      <c r="F23" s="8">
        <f>+[1]Historicals!F108</f>
        <v>10045</v>
      </c>
      <c r="G23" s="8">
        <f>+[1]Historicals!G108</f>
        <v>9329</v>
      </c>
      <c r="H23" s="8">
        <f>+[1]Historicals!H108</f>
        <v>11644</v>
      </c>
      <c r="I23" s="8">
        <f>+[1]Historicals!I108</f>
        <v>12228</v>
      </c>
      <c r="J23" s="8">
        <v>14897</v>
      </c>
      <c r="K23" s="8">
        <f t="shared" ref="K23:N23" si="29">+J23*(1+K24)</f>
        <v>14897</v>
      </c>
      <c r="L23" s="8">
        <f t="shared" si="29"/>
        <v>14897</v>
      </c>
      <c r="M23" s="8">
        <f t="shared" si="29"/>
        <v>14897</v>
      </c>
      <c r="N23" s="8">
        <f t="shared" si="29"/>
        <v>14897</v>
      </c>
    </row>
    <row r="24" spans="1:15" x14ac:dyDescent="0.3">
      <c r="A24" s="23" t="s">
        <v>129</v>
      </c>
      <c r="B24" s="72" t="str">
        <f t="shared" ref="B24:H24" si="30">+IFERROR(B23/A23-1,"nm")</f>
        <v>nm</v>
      </c>
      <c r="C24" s="72">
        <f t="shared" si="30"/>
        <v>9.3228309428638578E-2</v>
      </c>
      <c r="D24" s="72">
        <f t="shared" si="30"/>
        <v>4.1402301322722934E-2</v>
      </c>
      <c r="E24" s="72">
        <f t="shared" si="30"/>
        <v>-3.7381247418422192E-2</v>
      </c>
      <c r="F24" s="72">
        <f t="shared" si="30"/>
        <v>7.755846384895948E-2</v>
      </c>
      <c r="G24" s="72">
        <f t="shared" si="30"/>
        <v>-7.1279243404678949E-2</v>
      </c>
      <c r="H24" s="72">
        <f t="shared" si="30"/>
        <v>0.24815092721620746</v>
      </c>
      <c r="I24" s="72">
        <f>+IFERROR(I23/H23-1,"nm")</f>
        <v>5.0154586052902683E-2</v>
      </c>
      <c r="J24" s="72">
        <f>+J25+J26</f>
        <v>0</v>
      </c>
      <c r="K24" s="72">
        <f t="shared" ref="K24:N24" si="31">+K25+K26</f>
        <v>0</v>
      </c>
      <c r="L24" s="72">
        <f t="shared" si="31"/>
        <v>0</v>
      </c>
      <c r="M24" s="72">
        <f t="shared" si="31"/>
        <v>0</v>
      </c>
      <c r="N24" s="72">
        <f t="shared" si="31"/>
        <v>0</v>
      </c>
    </row>
    <row r="25" spans="1:15" x14ac:dyDescent="0.3">
      <c r="A25" s="23" t="s">
        <v>137</v>
      </c>
      <c r="B25" s="72" t="str">
        <f>+[1]Historicals!B180</f>
        <v>-</v>
      </c>
      <c r="C25" s="72">
        <f>+[1]Historicals!C180</f>
        <v>9.3228309428638606E-2</v>
      </c>
      <c r="D25" s="72">
        <f>+[1]Historicals!D180</f>
        <v>4.1402301322722872E-2</v>
      </c>
      <c r="E25" s="72">
        <f>+[1]Historicals!E180</f>
        <v>-3.7381247418422137E-2</v>
      </c>
      <c r="F25" s="72">
        <f>+[1]Historicals!F180</f>
        <v>7.7558463848959452E-2</v>
      </c>
      <c r="G25" s="72">
        <f>+[1]Historicals!G180</f>
        <v>-7.1279243404678949E-2</v>
      </c>
      <c r="H25" s="72">
        <f>+[1]Historicals!H180</f>
        <v>0.24815092721620752</v>
      </c>
      <c r="I25" s="72">
        <f>+[1]Historicals!I180</f>
        <v>0.05</v>
      </c>
      <c r="J25" s="74">
        <v>0</v>
      </c>
      <c r="K25" s="74">
        <f t="shared" ref="K25:N26" si="32">+J25</f>
        <v>0</v>
      </c>
      <c r="L25" s="74">
        <f t="shared" si="32"/>
        <v>0</v>
      </c>
      <c r="M25" s="74">
        <f t="shared" si="32"/>
        <v>0</v>
      </c>
      <c r="N25" s="74">
        <f t="shared" si="32"/>
        <v>0</v>
      </c>
    </row>
    <row r="26" spans="1:15" x14ac:dyDescent="0.3">
      <c r="A26" s="23" t="s">
        <v>138</v>
      </c>
      <c r="B26" s="72" t="str">
        <f t="shared" ref="B26:H26" si="33">+IFERROR(B24-B25,"nm")</f>
        <v>nm</v>
      </c>
      <c r="C26" s="72">
        <f t="shared" si="33"/>
        <v>-2.7755575615628914E-17</v>
      </c>
      <c r="D26" s="72">
        <f t="shared" si="33"/>
        <v>6.2450045135165055E-17</v>
      </c>
      <c r="E26" s="72">
        <f t="shared" si="33"/>
        <v>-5.5511151231257827E-17</v>
      </c>
      <c r="F26" s="72">
        <f t="shared" si="33"/>
        <v>2.7755575615628914E-17</v>
      </c>
      <c r="G26" s="72">
        <f t="shared" si="33"/>
        <v>0</v>
      </c>
      <c r="H26" s="72">
        <f t="shared" si="33"/>
        <v>-5.5511151231257827E-17</v>
      </c>
      <c r="I26" s="72">
        <f>+IFERROR(I24-I25,"nm")</f>
        <v>1.5458605290268046E-4</v>
      </c>
      <c r="J26" s="74">
        <v>0</v>
      </c>
      <c r="K26" s="74">
        <f t="shared" si="32"/>
        <v>0</v>
      </c>
      <c r="L26" s="74">
        <f t="shared" si="32"/>
        <v>0</v>
      </c>
      <c r="M26" s="74">
        <f t="shared" si="32"/>
        <v>0</v>
      </c>
      <c r="N26" s="74">
        <f t="shared" si="32"/>
        <v>0</v>
      </c>
    </row>
    <row r="27" spans="1:15" x14ac:dyDescent="0.3">
      <c r="A27" s="24" t="s">
        <v>114</v>
      </c>
      <c r="B27" s="8">
        <f>+[1]Historicals!B109</f>
        <v>4410</v>
      </c>
      <c r="C27" s="8">
        <f>+[1]Historicals!C109</f>
        <v>4746</v>
      </c>
      <c r="D27" s="8">
        <f>+[1]Historicals!D109</f>
        <v>4886</v>
      </c>
      <c r="E27" s="8">
        <f>+[1]Historicals!E109</f>
        <v>4938</v>
      </c>
      <c r="F27" s="8">
        <f>+[1]Historicals!F109</f>
        <v>5260</v>
      </c>
      <c r="G27" s="8">
        <f>+[1]Historicals!G109</f>
        <v>4639</v>
      </c>
      <c r="H27" s="8">
        <f>+[1]Historicals!H109</f>
        <v>5028</v>
      </c>
      <c r="I27" s="8">
        <f>+[1]Historicals!I109</f>
        <v>5492</v>
      </c>
      <c r="J27" s="8">
        <v>5947</v>
      </c>
      <c r="K27" s="8">
        <f t="shared" ref="K27:N27" si="34">+J27*(1+K28)</f>
        <v>5947</v>
      </c>
      <c r="L27" s="8">
        <f t="shared" si="34"/>
        <v>5947</v>
      </c>
      <c r="M27" s="8">
        <f t="shared" si="34"/>
        <v>5947</v>
      </c>
      <c r="N27" s="8">
        <f t="shared" si="34"/>
        <v>5947</v>
      </c>
    </row>
    <row r="28" spans="1:15" x14ac:dyDescent="0.3">
      <c r="A28" s="23" t="s">
        <v>129</v>
      </c>
      <c r="B28" s="72" t="str">
        <f t="shared" ref="B28:H28" si="35">+IFERROR(B27/A27-1,"nm")</f>
        <v>nm</v>
      </c>
      <c r="C28" s="72">
        <f t="shared" si="35"/>
        <v>7.6190476190476142E-2</v>
      </c>
      <c r="D28" s="72">
        <f t="shared" si="35"/>
        <v>2.9498525073746285E-2</v>
      </c>
      <c r="E28" s="72">
        <f t="shared" si="35"/>
        <v>1.0642652476463343E-2</v>
      </c>
      <c r="F28" s="72">
        <f t="shared" si="35"/>
        <v>6.5208586472256025E-2</v>
      </c>
      <c r="G28" s="72">
        <f t="shared" si="35"/>
        <v>-0.11806083650190113</v>
      </c>
      <c r="H28" s="72">
        <f t="shared" si="35"/>
        <v>8.3854278939426541E-2</v>
      </c>
      <c r="I28" s="72">
        <f>+IFERROR(I27/H27-1,"nm")</f>
        <v>9.2283214001591007E-2</v>
      </c>
      <c r="J28" s="72">
        <f>+J29+J30</f>
        <v>0</v>
      </c>
      <c r="K28" s="72">
        <f t="shared" ref="K28:N28" si="36">+K29+K30</f>
        <v>0</v>
      </c>
      <c r="L28" s="72">
        <f t="shared" si="36"/>
        <v>0</v>
      </c>
      <c r="M28" s="72">
        <f t="shared" si="36"/>
        <v>0</v>
      </c>
      <c r="N28" s="72">
        <f t="shared" si="36"/>
        <v>0</v>
      </c>
    </row>
    <row r="29" spans="1:15" x14ac:dyDescent="0.3">
      <c r="A29" s="23" t="s">
        <v>137</v>
      </c>
      <c r="B29" s="72" t="str">
        <f>+[1]Historicals!B184</f>
        <v>-</v>
      </c>
      <c r="C29" s="72">
        <f>+[1]Historicals!C184</f>
        <v>3.4871358707208165E-2</v>
      </c>
      <c r="D29" s="72">
        <f>+[1]Historicals!D184</f>
        <v>2.6299568522703924E-2</v>
      </c>
      <c r="E29" s="72">
        <f>+[1]Historicals!E184</f>
        <v>0.17617617617617617</v>
      </c>
      <c r="F29" s="72">
        <f>+[1]Historicals!F184</f>
        <v>7.114893617021277E-2</v>
      </c>
      <c r="G29" s="72">
        <f>+[1]Historicals!G184</f>
        <v>-6.3721595423486418E-2</v>
      </c>
      <c r="H29" s="72">
        <f>+[1]Historicals!H184</f>
        <v>0.18295994568906992</v>
      </c>
      <c r="I29" s="72">
        <f>+[1]Historicals!I184</f>
        <v>0.09</v>
      </c>
      <c r="J29" s="74">
        <v>0</v>
      </c>
      <c r="K29" s="74">
        <f t="shared" ref="K29:N30" si="37">+J29</f>
        <v>0</v>
      </c>
      <c r="L29" s="74">
        <f t="shared" si="37"/>
        <v>0</v>
      </c>
      <c r="M29" s="74">
        <f t="shared" si="37"/>
        <v>0</v>
      </c>
      <c r="N29" s="74">
        <f t="shared" si="37"/>
        <v>0</v>
      </c>
    </row>
    <row r="30" spans="1:15" x14ac:dyDescent="0.3">
      <c r="A30" s="23" t="s">
        <v>138</v>
      </c>
      <c r="B30" s="72" t="str">
        <f t="shared" ref="B30:H30" si="38">+IFERROR(B28-B29,"nm")</f>
        <v>nm</v>
      </c>
      <c r="C30" s="72">
        <f t="shared" si="38"/>
        <v>4.1319117483267977E-2</v>
      </c>
      <c r="D30" s="72">
        <f t="shared" si="38"/>
        <v>3.1989565510423604E-3</v>
      </c>
      <c r="E30" s="72">
        <f t="shared" si="38"/>
        <v>-0.16553352369971283</v>
      </c>
      <c r="F30" s="72">
        <f t="shared" si="38"/>
        <v>-5.9403496979567455E-3</v>
      </c>
      <c r="G30" s="72">
        <f t="shared" si="38"/>
        <v>-5.4339241078414716E-2</v>
      </c>
      <c r="H30" s="72">
        <f t="shared" si="38"/>
        <v>-9.9105666749643384E-2</v>
      </c>
      <c r="I30" s="72">
        <f>+IFERROR(I28-I29,"nm")</f>
        <v>2.2832140015910107E-3</v>
      </c>
      <c r="J30" s="74">
        <v>0</v>
      </c>
      <c r="K30" s="74">
        <f t="shared" si="37"/>
        <v>0</v>
      </c>
      <c r="L30" s="74">
        <f t="shared" si="37"/>
        <v>0</v>
      </c>
      <c r="M30" s="74">
        <f t="shared" si="37"/>
        <v>0</v>
      </c>
      <c r="N30" s="74">
        <f t="shared" si="37"/>
        <v>0</v>
      </c>
    </row>
    <row r="31" spans="1:15" x14ac:dyDescent="0.3">
      <c r="A31" s="24" t="s">
        <v>115</v>
      </c>
      <c r="B31" s="8">
        <f>+[1]Historicals!B110</f>
        <v>824</v>
      </c>
      <c r="C31" s="8">
        <f>+[1]Historicals!C110</f>
        <v>719</v>
      </c>
      <c r="D31" s="8">
        <f>+[1]Historicals!D110</f>
        <v>646</v>
      </c>
      <c r="E31" s="8">
        <f>+[1]Historicals!E110</f>
        <v>595</v>
      </c>
      <c r="F31" s="8">
        <f>+[1]Historicals!F110</f>
        <v>597</v>
      </c>
      <c r="G31" s="8">
        <f>+[1]Historicals!G110</f>
        <v>516</v>
      </c>
      <c r="H31" s="8">
        <f>+[1]Historicals!H110</f>
        <v>507</v>
      </c>
      <c r="I31" s="8">
        <f>+[1]Historicals!I110</f>
        <v>633</v>
      </c>
      <c r="J31" s="8">
        <v>764</v>
      </c>
      <c r="K31" s="8">
        <f t="shared" ref="K31:N31" si="39">+J31*(1+K32)</f>
        <v>764</v>
      </c>
      <c r="L31" s="8">
        <f t="shared" si="39"/>
        <v>764</v>
      </c>
      <c r="M31" s="8">
        <f t="shared" si="39"/>
        <v>764</v>
      </c>
      <c r="N31" s="8">
        <f t="shared" si="39"/>
        <v>764</v>
      </c>
    </row>
    <row r="32" spans="1:15" x14ac:dyDescent="0.3">
      <c r="A32" s="23" t="s">
        <v>129</v>
      </c>
      <c r="B32" s="72" t="str">
        <f t="shared" ref="B32:H32" si="40">+IFERROR(B31/A31-1,"nm")</f>
        <v>nm</v>
      </c>
      <c r="C32" s="72">
        <f t="shared" si="40"/>
        <v>-0.12742718446601942</v>
      </c>
      <c r="D32" s="72">
        <f t="shared" si="40"/>
        <v>-0.10152990264255912</v>
      </c>
      <c r="E32" s="72">
        <f t="shared" si="40"/>
        <v>-7.8947368421052655E-2</v>
      </c>
      <c r="F32" s="72">
        <f t="shared" si="40"/>
        <v>3.3613445378151141E-3</v>
      </c>
      <c r="G32" s="72">
        <f t="shared" si="40"/>
        <v>-0.13567839195979903</v>
      </c>
      <c r="H32" s="72">
        <f t="shared" si="40"/>
        <v>-1.744186046511631E-2</v>
      </c>
      <c r="I32" s="72">
        <f>+IFERROR(I31/H31-1,"nm")</f>
        <v>0.24852071005917153</v>
      </c>
      <c r="J32" s="72">
        <f>+J33+J34</f>
        <v>0</v>
      </c>
      <c r="K32" s="72">
        <f t="shared" ref="K32:N32" si="41">+K33+K34</f>
        <v>0</v>
      </c>
      <c r="L32" s="72">
        <f t="shared" si="41"/>
        <v>0</v>
      </c>
      <c r="M32" s="72">
        <f t="shared" si="41"/>
        <v>0</v>
      </c>
      <c r="N32" s="72">
        <f t="shared" si="41"/>
        <v>0</v>
      </c>
    </row>
    <row r="33" spans="1:14" x14ac:dyDescent="0.3">
      <c r="A33" s="23" t="s">
        <v>137</v>
      </c>
      <c r="B33" s="72" t="str">
        <f>+[1]Historicals!B182</f>
        <v>-</v>
      </c>
      <c r="C33" s="72">
        <f>+[1]Historicals!C182</f>
        <v>-0.12742718446601942</v>
      </c>
      <c r="D33" s="72">
        <f>+[1]Historicals!D182</f>
        <v>-0.10152990264255911</v>
      </c>
      <c r="E33" s="72">
        <f>+[1]Historicals!E182</f>
        <v>-7.8947368421052627E-2</v>
      </c>
      <c r="F33" s="72">
        <f>+[1]Historicals!F182</f>
        <v>3.3613445378151263E-3</v>
      </c>
      <c r="G33" s="72">
        <f>+[1]Historicals!G182</f>
        <v>-0.135678391959799</v>
      </c>
      <c r="H33" s="72">
        <f>+[1]Historicals!H182</f>
        <v>-1.7441860465116279E-2</v>
      </c>
      <c r="I33" s="72">
        <f>+[1]Historicals!I182</f>
        <v>0.25</v>
      </c>
      <c r="J33" s="74">
        <v>0</v>
      </c>
      <c r="K33" s="74">
        <f t="shared" ref="K33:N34" si="42">+J33</f>
        <v>0</v>
      </c>
      <c r="L33" s="74">
        <f t="shared" si="42"/>
        <v>0</v>
      </c>
      <c r="M33" s="74">
        <f t="shared" si="42"/>
        <v>0</v>
      </c>
      <c r="N33" s="74">
        <f t="shared" si="42"/>
        <v>0</v>
      </c>
    </row>
    <row r="34" spans="1:14" x14ac:dyDescent="0.3">
      <c r="A34" s="23" t="s">
        <v>138</v>
      </c>
      <c r="B34" s="72" t="str">
        <f t="shared" ref="B34:H34" si="43">+IFERROR(B32-B33,"nm")</f>
        <v>nm</v>
      </c>
      <c r="C34" s="72">
        <f t="shared" si="43"/>
        <v>0</v>
      </c>
      <c r="D34" s="72">
        <f t="shared" si="43"/>
        <v>-1.3877787807814457E-17</v>
      </c>
      <c r="E34" s="72">
        <f t="shared" si="43"/>
        <v>-2.7755575615628914E-17</v>
      </c>
      <c r="F34" s="72">
        <f t="shared" si="43"/>
        <v>-1.214306433183765E-17</v>
      </c>
      <c r="G34" s="72">
        <f t="shared" si="43"/>
        <v>-2.7755575615628914E-17</v>
      </c>
      <c r="H34" s="72">
        <f t="shared" si="43"/>
        <v>-3.1225022567582528E-17</v>
      </c>
      <c r="I34" s="72">
        <f>+IFERROR(I32-I33,"nm")</f>
        <v>-1.4792899408284654E-3</v>
      </c>
      <c r="J34" s="74">
        <v>0</v>
      </c>
      <c r="K34" s="74">
        <f t="shared" si="42"/>
        <v>0</v>
      </c>
      <c r="L34" s="74">
        <f t="shared" si="42"/>
        <v>0</v>
      </c>
      <c r="M34" s="74">
        <f t="shared" si="42"/>
        <v>0</v>
      </c>
      <c r="N34" s="74">
        <f t="shared" si="42"/>
        <v>0</v>
      </c>
    </row>
    <row r="35" spans="1:14" x14ac:dyDescent="0.3">
      <c r="A35" s="8" t="s">
        <v>130</v>
      </c>
      <c r="B35" s="73">
        <f t="shared" ref="B35:H35" si="44">+B42+B38</f>
        <v>3766</v>
      </c>
      <c r="C35" s="73">
        <f t="shared" si="44"/>
        <v>3896</v>
      </c>
      <c r="D35" s="73">
        <f t="shared" si="44"/>
        <v>4015</v>
      </c>
      <c r="E35" s="73">
        <f t="shared" si="44"/>
        <v>3760</v>
      </c>
      <c r="F35" s="73">
        <f t="shared" si="44"/>
        <v>4074</v>
      </c>
      <c r="G35" s="73">
        <f t="shared" si="44"/>
        <v>3047</v>
      </c>
      <c r="H35" s="73">
        <f t="shared" si="44"/>
        <v>5219</v>
      </c>
      <c r="I35" s="73">
        <f>+I42+I38</f>
        <v>5238</v>
      </c>
      <c r="J35" s="73">
        <f>+J21*J37</f>
        <v>6166.9865417098017</v>
      </c>
      <c r="K35" s="73">
        <f t="shared" ref="K35:N35" si="45">+K21*K37</f>
        <v>6166.9865417098017</v>
      </c>
      <c r="L35" s="73">
        <f t="shared" si="45"/>
        <v>6166.9865417098017</v>
      </c>
      <c r="M35" s="73">
        <f t="shared" si="45"/>
        <v>6166.9865417098017</v>
      </c>
      <c r="N35" s="73">
        <f t="shared" si="45"/>
        <v>6166.9865417098017</v>
      </c>
    </row>
    <row r="36" spans="1:14" x14ac:dyDescent="0.3">
      <c r="A36" s="25" t="s">
        <v>129</v>
      </c>
      <c r="B36" s="72" t="str">
        <f t="shared" ref="B36:H36" si="46">+IFERROR(B35/A35-1,"nm")</f>
        <v>nm</v>
      </c>
      <c r="C36" s="72">
        <f t="shared" si="46"/>
        <v>3.4519383961763239E-2</v>
      </c>
      <c r="D36" s="72">
        <f t="shared" si="46"/>
        <v>3.0544147843942548E-2</v>
      </c>
      <c r="E36" s="72">
        <f t="shared" si="46"/>
        <v>-6.3511830635118338E-2</v>
      </c>
      <c r="F36" s="72">
        <f t="shared" si="46"/>
        <v>8.3510638297872308E-2</v>
      </c>
      <c r="G36" s="72">
        <f t="shared" si="46"/>
        <v>-0.25208640157093765</v>
      </c>
      <c r="H36" s="72">
        <f t="shared" si="46"/>
        <v>0.71283229405973092</v>
      </c>
      <c r="I36" s="72">
        <f>+IFERROR(I35/H35-1,"nm")</f>
        <v>3.6405441655489312E-3</v>
      </c>
      <c r="J36" s="72">
        <f t="shared" ref="J36:N36" si="47">+IFERROR(J35/I35-1,"nm")</f>
        <v>0.17735520078461287</v>
      </c>
      <c r="K36" s="72">
        <f t="shared" si="47"/>
        <v>0</v>
      </c>
      <c r="L36" s="72">
        <f t="shared" si="47"/>
        <v>0</v>
      </c>
      <c r="M36" s="72">
        <f t="shared" si="47"/>
        <v>0</v>
      </c>
      <c r="N36" s="72">
        <f t="shared" si="47"/>
        <v>0</v>
      </c>
    </row>
    <row r="37" spans="1:14" x14ac:dyDescent="0.3">
      <c r="A37" s="25" t="s">
        <v>131</v>
      </c>
      <c r="B37" s="72">
        <f t="shared" ref="B37:H37" si="48">+IFERROR(B35/B$21,"nm")</f>
        <v>0.27409024745269289</v>
      </c>
      <c r="C37" s="72">
        <f t="shared" si="48"/>
        <v>0.26388512598211866</v>
      </c>
      <c r="D37" s="72">
        <f t="shared" si="48"/>
        <v>0.26386698212407994</v>
      </c>
      <c r="E37" s="72">
        <f t="shared" si="48"/>
        <v>0.25311342982160889</v>
      </c>
      <c r="F37" s="72">
        <f t="shared" si="48"/>
        <v>0.25619418941013711</v>
      </c>
      <c r="G37" s="72">
        <f t="shared" si="48"/>
        <v>0.2103700635183651</v>
      </c>
      <c r="H37" s="72">
        <f t="shared" si="48"/>
        <v>0.30380115256999823</v>
      </c>
      <c r="I37" s="72">
        <f>+IFERROR(I35/I$21,"nm")</f>
        <v>0.28540293140086087</v>
      </c>
      <c r="J37" s="74">
        <f>+I37</f>
        <v>0.28540293140086087</v>
      </c>
      <c r="K37" s="74">
        <f t="shared" ref="K37:N37" si="49">+J37</f>
        <v>0.28540293140086087</v>
      </c>
      <c r="L37" s="74">
        <f t="shared" si="49"/>
        <v>0.28540293140086087</v>
      </c>
      <c r="M37" s="74">
        <f t="shared" si="49"/>
        <v>0.28540293140086087</v>
      </c>
      <c r="N37" s="74">
        <f t="shared" si="49"/>
        <v>0.28540293140086087</v>
      </c>
    </row>
    <row r="38" spans="1:14" x14ac:dyDescent="0.3">
      <c r="A38" s="8" t="s">
        <v>132</v>
      </c>
      <c r="B38" s="8">
        <f>+[1]Historicals!B167</f>
        <v>121</v>
      </c>
      <c r="C38" s="8">
        <f>+[1]Historicals!C167</f>
        <v>133</v>
      </c>
      <c r="D38" s="8">
        <f>+[1]Historicals!D167</f>
        <v>140</v>
      </c>
      <c r="E38" s="8">
        <f>+[1]Historicals!E167</f>
        <v>160</v>
      </c>
      <c r="F38" s="8">
        <f>+[1]Historicals!F167</f>
        <v>149</v>
      </c>
      <c r="G38" s="8">
        <f>+[1]Historicals!G167</f>
        <v>148</v>
      </c>
      <c r="H38" s="8">
        <f>+[1]Historicals!H167</f>
        <v>130</v>
      </c>
      <c r="I38" s="8">
        <f>+[1]Historicals!I167</f>
        <v>124</v>
      </c>
      <c r="J38" s="73">
        <f>+J41*J48</f>
        <v>145.992044897292</v>
      </c>
      <c r="K38" s="73">
        <f t="shared" ref="K38:N38" si="50">+K41*K48</f>
        <v>145.992044897292</v>
      </c>
      <c r="L38" s="73">
        <f t="shared" si="50"/>
        <v>145.992044897292</v>
      </c>
      <c r="M38" s="73">
        <f t="shared" si="50"/>
        <v>145.992044897292</v>
      </c>
      <c r="N38" s="73">
        <f t="shared" si="50"/>
        <v>145.992044897292</v>
      </c>
    </row>
    <row r="39" spans="1:14" x14ac:dyDescent="0.3">
      <c r="A39" s="25" t="s">
        <v>129</v>
      </c>
      <c r="B39" s="72" t="str">
        <f t="shared" ref="B39:H39" si="51">+IFERROR(B38/A38-1,"nm")</f>
        <v>nm</v>
      </c>
      <c r="C39" s="72">
        <f t="shared" si="51"/>
        <v>9.9173553719008156E-2</v>
      </c>
      <c r="D39" s="72">
        <f t="shared" si="51"/>
        <v>5.2631578947368363E-2</v>
      </c>
      <c r="E39" s="72">
        <f t="shared" si="51"/>
        <v>0.14285714285714279</v>
      </c>
      <c r="F39" s="72">
        <f t="shared" si="51"/>
        <v>-6.8749999999999978E-2</v>
      </c>
      <c r="G39" s="72">
        <f t="shared" si="51"/>
        <v>-6.7114093959731447E-3</v>
      </c>
      <c r="H39" s="72">
        <f t="shared" si="51"/>
        <v>-0.1216216216216216</v>
      </c>
      <c r="I39" s="72">
        <f>+IFERROR(I38/H38-1,"nm")</f>
        <v>-4.6153846153846101E-2</v>
      </c>
      <c r="J39" s="72">
        <f t="shared" ref="J39:N39" si="52">+IFERROR(J38/I38-1,"nm")</f>
        <v>0.17735520078461287</v>
      </c>
      <c r="K39" s="72">
        <f t="shared" si="52"/>
        <v>0</v>
      </c>
      <c r="L39" s="72">
        <f t="shared" si="52"/>
        <v>0</v>
      </c>
      <c r="M39" s="72">
        <f t="shared" si="52"/>
        <v>0</v>
      </c>
      <c r="N39" s="72">
        <f t="shared" si="52"/>
        <v>0</v>
      </c>
    </row>
    <row r="40" spans="1:14" x14ac:dyDescent="0.3">
      <c r="A40" s="25" t="s">
        <v>133</v>
      </c>
      <c r="B40" s="72">
        <f t="shared" ref="B40:H40" si="53">+IFERROR(B38/B$21,"nm")</f>
        <v>8.8064046579330417E-3</v>
      </c>
      <c r="C40" s="72">
        <f t="shared" si="53"/>
        <v>9.0083988079111346E-3</v>
      </c>
      <c r="D40" s="72">
        <f t="shared" si="53"/>
        <v>9.2008412197686646E-3</v>
      </c>
      <c r="E40" s="72">
        <f t="shared" si="53"/>
        <v>1.0770784247728038E-2</v>
      </c>
      <c r="F40" s="72">
        <f t="shared" si="53"/>
        <v>9.3698905798012821E-3</v>
      </c>
      <c r="G40" s="72">
        <f t="shared" si="53"/>
        <v>1.0218171775752554E-2</v>
      </c>
      <c r="H40" s="72">
        <f t="shared" si="53"/>
        <v>7.5673787764130628E-3</v>
      </c>
      <c r="I40" s="72">
        <f>+IFERROR(I38/I$21,"nm")</f>
        <v>6.7563886013185855E-3</v>
      </c>
      <c r="J40" s="72">
        <f t="shared" ref="J40:N40" si="54">+IFERROR(J38/J$21,"nm")</f>
        <v>6.7563886013185855E-3</v>
      </c>
      <c r="K40" s="72">
        <f t="shared" si="54"/>
        <v>6.7563886013185855E-3</v>
      </c>
      <c r="L40" s="72">
        <f t="shared" si="54"/>
        <v>6.7563886013185855E-3</v>
      </c>
      <c r="M40" s="72">
        <f t="shared" si="54"/>
        <v>6.7563886013185855E-3</v>
      </c>
      <c r="N40" s="72">
        <f t="shared" si="54"/>
        <v>6.7563886013185855E-3</v>
      </c>
    </row>
    <row r="41" spans="1:14" x14ac:dyDescent="0.3">
      <c r="A41" s="25" t="s">
        <v>140</v>
      </c>
      <c r="B41" s="72">
        <f t="shared" ref="B41:H41" si="55">+IFERROR(B38/B48,"nm")</f>
        <v>0.19145569620253164</v>
      </c>
      <c r="C41" s="72">
        <f t="shared" si="55"/>
        <v>0.17924528301886791</v>
      </c>
      <c r="D41" s="72">
        <f t="shared" si="55"/>
        <v>0.17094017094017094</v>
      </c>
      <c r="E41" s="72">
        <f t="shared" si="55"/>
        <v>0.18867924528301888</v>
      </c>
      <c r="F41" s="72">
        <f t="shared" si="55"/>
        <v>0.18304668304668303</v>
      </c>
      <c r="G41" s="72">
        <f t="shared" si="55"/>
        <v>0.22945736434108527</v>
      </c>
      <c r="H41" s="72">
        <f t="shared" si="55"/>
        <v>0.21069692058346839</v>
      </c>
      <c r="I41" s="72">
        <f>+IFERROR(I38/I48,"nm")</f>
        <v>0.19405320813771518</v>
      </c>
      <c r="J41" s="74">
        <f>+I41</f>
        <v>0.19405320813771518</v>
      </c>
      <c r="K41" s="74">
        <f t="shared" ref="K41:N41" si="56">+J41</f>
        <v>0.19405320813771518</v>
      </c>
      <c r="L41" s="74">
        <f t="shared" si="56"/>
        <v>0.19405320813771518</v>
      </c>
      <c r="M41" s="74">
        <f t="shared" si="56"/>
        <v>0.19405320813771518</v>
      </c>
      <c r="N41" s="74">
        <f t="shared" si="56"/>
        <v>0.19405320813771518</v>
      </c>
    </row>
    <row r="42" spans="1:14" x14ac:dyDescent="0.3">
      <c r="A42" s="8" t="s">
        <v>134</v>
      </c>
      <c r="B42" s="8">
        <f>+[1]Historicals!B134</f>
        <v>3645</v>
      </c>
      <c r="C42" s="8">
        <f>+[1]Historicals!C134</f>
        <v>3763</v>
      </c>
      <c r="D42" s="8">
        <f>+[1]Historicals!D134</f>
        <v>3875</v>
      </c>
      <c r="E42" s="8">
        <f>+[1]Historicals!E134</f>
        <v>3600</v>
      </c>
      <c r="F42" s="8">
        <f>+[1]Historicals!F134</f>
        <v>3925</v>
      </c>
      <c r="G42" s="8">
        <f>+[1]Historicals!G134</f>
        <v>2899</v>
      </c>
      <c r="H42" s="8">
        <f>+[1]Historicals!H134</f>
        <v>5089</v>
      </c>
      <c r="I42" s="8">
        <f>+[1]Historicals!I134</f>
        <v>5114</v>
      </c>
      <c r="J42" s="8">
        <f>+J35-J38</f>
        <v>6020.9944968125101</v>
      </c>
      <c r="K42" s="8">
        <f t="shared" ref="K42:N42" si="57">+K35-K38</f>
        <v>6020.9944968125101</v>
      </c>
      <c r="L42" s="8">
        <f t="shared" si="57"/>
        <v>6020.9944968125101</v>
      </c>
      <c r="M42" s="8">
        <f t="shared" si="57"/>
        <v>6020.9944968125101</v>
      </c>
      <c r="N42" s="8">
        <f t="shared" si="57"/>
        <v>6020.9944968125101</v>
      </c>
    </row>
    <row r="43" spans="1:14" x14ac:dyDescent="0.3">
      <c r="A43" s="25" t="s">
        <v>129</v>
      </c>
      <c r="B43" s="72" t="str">
        <f t="shared" ref="B43:H43" si="58">+IFERROR(B42/A42-1,"nm")</f>
        <v>nm</v>
      </c>
      <c r="C43" s="72">
        <f t="shared" si="58"/>
        <v>3.2373113854595292E-2</v>
      </c>
      <c r="D43" s="72">
        <f t="shared" si="58"/>
        <v>2.9763486579856391E-2</v>
      </c>
      <c r="E43" s="72">
        <f t="shared" si="58"/>
        <v>-7.096774193548383E-2</v>
      </c>
      <c r="F43" s="72">
        <f t="shared" si="58"/>
        <v>9.0277777777777679E-2</v>
      </c>
      <c r="G43" s="72">
        <f t="shared" si="58"/>
        <v>-0.26140127388535028</v>
      </c>
      <c r="H43" s="72">
        <f t="shared" si="58"/>
        <v>0.75543290789927564</v>
      </c>
      <c r="I43" s="72">
        <f>+IFERROR(I42/H42-1,"nm")</f>
        <v>4.9125564943997002E-3</v>
      </c>
      <c r="J43" s="72">
        <f t="shared" ref="J43:N43" si="59">+IFERROR(J42/I42-1,"nm")</f>
        <v>0.17735520078461287</v>
      </c>
      <c r="K43" s="72">
        <f t="shared" si="59"/>
        <v>0</v>
      </c>
      <c r="L43" s="72">
        <f t="shared" si="59"/>
        <v>0</v>
      </c>
      <c r="M43" s="72">
        <f t="shared" si="59"/>
        <v>0</v>
      </c>
      <c r="N43" s="72">
        <f t="shared" si="59"/>
        <v>0</v>
      </c>
    </row>
    <row r="44" spans="1:14" x14ac:dyDescent="0.3">
      <c r="A44" s="25" t="s">
        <v>131</v>
      </c>
      <c r="B44" s="72">
        <f t="shared" ref="B44:H44" si="60">+IFERROR(B42/B$21,"nm")</f>
        <v>0.26528384279475981</v>
      </c>
      <c r="C44" s="72">
        <f t="shared" si="60"/>
        <v>0.25487672717420751</v>
      </c>
      <c r="D44" s="72">
        <f t="shared" si="60"/>
        <v>0.25466614090431128</v>
      </c>
      <c r="E44" s="72">
        <f t="shared" si="60"/>
        <v>0.24234264557388085</v>
      </c>
      <c r="F44" s="72">
        <f t="shared" si="60"/>
        <v>0.2468242988303358</v>
      </c>
      <c r="G44" s="72">
        <f t="shared" si="60"/>
        <v>0.20015189174261253</v>
      </c>
      <c r="H44" s="72">
        <f t="shared" si="60"/>
        <v>0.29623377379358518</v>
      </c>
      <c r="I44" s="72">
        <f>+IFERROR(I42/I$21,"nm")</f>
        <v>0.27864654279954232</v>
      </c>
      <c r="J44" s="72">
        <f t="shared" ref="J44:N44" si="61">+IFERROR(J42/J$21,"nm")</f>
        <v>0.27864654279954232</v>
      </c>
      <c r="K44" s="72">
        <f t="shared" si="61"/>
        <v>0.27864654279954232</v>
      </c>
      <c r="L44" s="72">
        <f t="shared" si="61"/>
        <v>0.27864654279954232</v>
      </c>
      <c r="M44" s="72">
        <f t="shared" si="61"/>
        <v>0.27864654279954232</v>
      </c>
      <c r="N44" s="72">
        <f t="shared" si="61"/>
        <v>0.27864654279954232</v>
      </c>
    </row>
    <row r="45" spans="1:14" x14ac:dyDescent="0.3">
      <c r="A45" s="8" t="s">
        <v>135</v>
      </c>
      <c r="B45" s="8">
        <f>+[1]Historicals!B156</f>
        <v>208</v>
      </c>
      <c r="C45" s="8">
        <f>+[1]Historicals!C156</f>
        <v>242</v>
      </c>
      <c r="D45" s="8">
        <f>+[1]Historicals!D156</f>
        <v>223</v>
      </c>
      <c r="E45" s="8">
        <f>+[1]Historicals!E156</f>
        <v>196</v>
      </c>
      <c r="F45" s="8">
        <f>+[1]Historicals!F156</f>
        <v>117</v>
      </c>
      <c r="G45" s="8">
        <f>+[1]Historicals!G156</f>
        <v>110</v>
      </c>
      <c r="H45" s="8">
        <f>+[1]Historicals!H156</f>
        <v>98</v>
      </c>
      <c r="I45" s="8">
        <f>+[1]Historicals!I156</f>
        <v>146</v>
      </c>
      <c r="J45" s="73">
        <f>+J21*J47</f>
        <v>171.89385931455351</v>
      </c>
      <c r="K45" s="73">
        <f t="shared" ref="K45:N45" si="62">+K21*K47</f>
        <v>171.89385931455351</v>
      </c>
      <c r="L45" s="73">
        <f t="shared" si="62"/>
        <v>171.89385931455351</v>
      </c>
      <c r="M45" s="73">
        <f t="shared" si="62"/>
        <v>171.89385931455351</v>
      </c>
      <c r="N45" s="73">
        <f t="shared" si="62"/>
        <v>171.89385931455351</v>
      </c>
    </row>
    <row r="46" spans="1:14" x14ac:dyDescent="0.3">
      <c r="A46" s="25" t="s">
        <v>129</v>
      </c>
      <c r="B46" s="72" t="str">
        <f t="shared" ref="B46:H46" si="63">+IFERROR(B45/A45-1,"nm")</f>
        <v>nm</v>
      </c>
      <c r="C46" s="72">
        <f t="shared" si="63"/>
        <v>0.16346153846153855</v>
      </c>
      <c r="D46" s="72">
        <f t="shared" si="63"/>
        <v>-7.8512396694214837E-2</v>
      </c>
      <c r="E46" s="72">
        <f t="shared" si="63"/>
        <v>-0.12107623318385652</v>
      </c>
      <c r="F46" s="72">
        <f t="shared" si="63"/>
        <v>-0.40306122448979587</v>
      </c>
      <c r="G46" s="72">
        <f t="shared" si="63"/>
        <v>-5.9829059829059839E-2</v>
      </c>
      <c r="H46" s="72">
        <f t="shared" si="63"/>
        <v>-0.10909090909090913</v>
      </c>
      <c r="I46" s="72">
        <f>+IFERROR(I45/H45-1,"nm")</f>
        <v>0.48979591836734704</v>
      </c>
      <c r="J46" s="72">
        <f t="shared" ref="J46:N46" si="64">+IFERROR(J45/I45-1,"nm")</f>
        <v>0.17735520078461309</v>
      </c>
      <c r="K46" s="72">
        <f t="shared" si="64"/>
        <v>0</v>
      </c>
      <c r="L46" s="72">
        <f t="shared" si="64"/>
        <v>0</v>
      </c>
      <c r="M46" s="72">
        <f t="shared" si="64"/>
        <v>0</v>
      </c>
      <c r="N46" s="72">
        <f t="shared" si="64"/>
        <v>0</v>
      </c>
    </row>
    <row r="47" spans="1:14" x14ac:dyDescent="0.3">
      <c r="A47" s="25" t="s">
        <v>133</v>
      </c>
      <c r="B47" s="72">
        <f t="shared" ref="B47:H47" si="65">+IFERROR(B45/B$21,"nm")</f>
        <v>1.5138282387190683E-2</v>
      </c>
      <c r="C47" s="72">
        <f t="shared" si="65"/>
        <v>1.6391221891086428E-2</v>
      </c>
      <c r="D47" s="72">
        <f t="shared" si="65"/>
        <v>1.4655625657202945E-2</v>
      </c>
      <c r="E47" s="72">
        <f t="shared" si="65"/>
        <v>1.3194210703466847E-2</v>
      </c>
      <c r="F47" s="72">
        <f t="shared" si="65"/>
        <v>7.3575650861526856E-3</v>
      </c>
      <c r="G47" s="72">
        <f t="shared" si="65"/>
        <v>7.5945871306268989E-3</v>
      </c>
      <c r="H47" s="72">
        <f t="shared" si="65"/>
        <v>5.7046393852960009E-3</v>
      </c>
      <c r="I47" s="72">
        <f>+IFERROR(I45/I$21,"nm")</f>
        <v>7.9551027080041418E-3</v>
      </c>
      <c r="J47" s="74">
        <f>+I47</f>
        <v>7.9551027080041418E-3</v>
      </c>
      <c r="K47" s="74">
        <f t="shared" ref="K47:N47" si="66">+J47</f>
        <v>7.9551027080041418E-3</v>
      </c>
      <c r="L47" s="74">
        <f t="shared" si="66"/>
        <v>7.9551027080041418E-3</v>
      </c>
      <c r="M47" s="74">
        <f t="shared" si="66"/>
        <v>7.9551027080041418E-3</v>
      </c>
      <c r="N47" s="74">
        <f t="shared" si="66"/>
        <v>7.9551027080041418E-3</v>
      </c>
    </row>
    <row r="48" spans="1:14" x14ac:dyDescent="0.3">
      <c r="A48" s="8" t="s">
        <v>141</v>
      </c>
      <c r="B48" s="8">
        <f>+[1]Historicals!B145</f>
        <v>632</v>
      </c>
      <c r="C48" s="8">
        <f>+[1]Historicals!C145</f>
        <v>742</v>
      </c>
      <c r="D48" s="8">
        <f>+[1]Historicals!D145</f>
        <v>819</v>
      </c>
      <c r="E48" s="8">
        <f>+[1]Historicals!E145</f>
        <v>848</v>
      </c>
      <c r="F48" s="8">
        <f>+[1]Historicals!F145</f>
        <v>814</v>
      </c>
      <c r="G48" s="8">
        <f>+[1]Historicals!G145</f>
        <v>645</v>
      </c>
      <c r="H48" s="8">
        <f>+[1]Historicals!H145</f>
        <v>617</v>
      </c>
      <c r="I48" s="8">
        <f>+[1]Historicals!I145</f>
        <v>639</v>
      </c>
      <c r="J48" s="73">
        <f>+J21*J50</f>
        <v>752.32997330136766</v>
      </c>
      <c r="K48" s="73">
        <f t="shared" ref="K48:N48" si="67">+K21*K50</f>
        <v>752.32997330136766</v>
      </c>
      <c r="L48" s="73">
        <f t="shared" si="67"/>
        <v>752.32997330136766</v>
      </c>
      <c r="M48" s="73">
        <f t="shared" si="67"/>
        <v>752.32997330136766</v>
      </c>
      <c r="N48" s="73">
        <f t="shared" si="67"/>
        <v>752.32997330136766</v>
      </c>
    </row>
    <row r="49" spans="1:14" x14ac:dyDescent="0.3">
      <c r="A49" s="25" t="s">
        <v>129</v>
      </c>
      <c r="B49" s="72" t="str">
        <f t="shared" ref="B49:H49" si="68">+IFERROR(B48/A48-1,"nm")</f>
        <v>nm</v>
      </c>
      <c r="C49" s="72">
        <f t="shared" si="68"/>
        <v>0.17405063291139244</v>
      </c>
      <c r="D49" s="72">
        <f t="shared" si="68"/>
        <v>0.10377358490566047</v>
      </c>
      <c r="E49" s="72">
        <f t="shared" si="68"/>
        <v>3.5409035409035505E-2</v>
      </c>
      <c r="F49" s="72">
        <f t="shared" si="68"/>
        <v>-4.0094339622641528E-2</v>
      </c>
      <c r="G49" s="72">
        <f t="shared" si="68"/>
        <v>-0.20761670761670759</v>
      </c>
      <c r="H49" s="72">
        <f t="shared" si="68"/>
        <v>-4.3410852713178349E-2</v>
      </c>
      <c r="I49" s="72">
        <f>+IFERROR(I48/H48-1,"nm")</f>
        <v>3.5656401944894611E-2</v>
      </c>
      <c r="J49" s="72">
        <f>+J50+J51</f>
        <v>3.4817196098730456E-2</v>
      </c>
      <c r="K49" s="72">
        <f t="shared" ref="K49:N49" si="69">+K50+K51</f>
        <v>3.4817196098730456E-2</v>
      </c>
      <c r="L49" s="72">
        <f t="shared" si="69"/>
        <v>3.4817196098730456E-2</v>
      </c>
      <c r="M49" s="72">
        <f t="shared" si="69"/>
        <v>3.4817196098730456E-2</v>
      </c>
      <c r="N49" s="72">
        <f t="shared" si="69"/>
        <v>3.4817196098730456E-2</v>
      </c>
    </row>
    <row r="50" spans="1:14" x14ac:dyDescent="0.3">
      <c r="A50" s="25" t="s">
        <v>133</v>
      </c>
      <c r="B50" s="72">
        <f t="shared" ref="B50:H50" si="70">+IFERROR(B48/B$21,"nm")</f>
        <v>4.599708879184862E-2</v>
      </c>
      <c r="C50" s="72">
        <f t="shared" si="70"/>
        <v>5.0257382823083174E-2</v>
      </c>
      <c r="D50" s="72">
        <f t="shared" si="70"/>
        <v>5.3824921135646686E-2</v>
      </c>
      <c r="E50" s="72">
        <f t="shared" si="70"/>
        <v>5.7085156512958597E-2</v>
      </c>
      <c r="F50" s="72">
        <f t="shared" si="70"/>
        <v>5.1188529744686205E-2</v>
      </c>
      <c r="G50" s="72">
        <f t="shared" si="70"/>
        <v>4.4531897265948632E-2</v>
      </c>
      <c r="H50" s="72">
        <f t="shared" si="70"/>
        <v>3.5915943884975841E-2</v>
      </c>
      <c r="I50" s="72">
        <f>+IFERROR(I48/I$21,"nm")</f>
        <v>3.4817196098730456E-2</v>
      </c>
      <c r="J50" s="74">
        <f>+I50</f>
        <v>3.4817196098730456E-2</v>
      </c>
      <c r="K50" s="74">
        <f t="shared" ref="K50:N50" si="71">+J50</f>
        <v>3.4817196098730456E-2</v>
      </c>
      <c r="L50" s="74">
        <f t="shared" si="71"/>
        <v>3.4817196098730456E-2</v>
      </c>
      <c r="M50" s="74">
        <f t="shared" si="71"/>
        <v>3.4817196098730456E-2</v>
      </c>
      <c r="N50" s="74">
        <f t="shared" si="71"/>
        <v>3.4817196098730456E-2</v>
      </c>
    </row>
    <row r="51" spans="1:14" x14ac:dyDescent="0.3">
      <c r="A51" s="71" t="s">
        <v>101</v>
      </c>
      <c r="B51" s="71"/>
      <c r="C51" s="71"/>
      <c r="D51" s="71"/>
      <c r="E51" s="71"/>
      <c r="F51" s="71"/>
      <c r="G51" s="71"/>
      <c r="H51" s="71"/>
      <c r="I51" s="71"/>
      <c r="J51" s="69"/>
      <c r="K51" s="69"/>
      <c r="L51" s="69"/>
      <c r="M51" s="69"/>
      <c r="N51" s="69"/>
    </row>
    <row r="52" spans="1:14" x14ac:dyDescent="0.3">
      <c r="A52" s="8" t="s">
        <v>136</v>
      </c>
      <c r="B52" s="42">
        <f>[2]Historicals!B111</f>
        <v>7126</v>
      </c>
      <c r="C52" s="42">
        <f>[2]Historicals!C111</f>
        <v>7315</v>
      </c>
      <c r="D52" s="42">
        <f>[2]Historicals!D111</f>
        <v>7698</v>
      </c>
      <c r="E52" s="42">
        <f>[2]Historicals!E111</f>
        <v>9242</v>
      </c>
      <c r="F52" s="42">
        <f>[2]Historicals!F111</f>
        <v>9812</v>
      </c>
      <c r="G52" s="42">
        <f>[2]Historicals!G111</f>
        <v>9347</v>
      </c>
      <c r="H52" s="42">
        <f>[2]Historicals!H111</f>
        <v>11456</v>
      </c>
      <c r="I52" s="42">
        <f>[2]Historicals!I111</f>
        <v>12479</v>
      </c>
    </row>
    <row r="53" spans="1:14" x14ac:dyDescent="0.3">
      <c r="A53" s="25" t="s">
        <v>129</v>
      </c>
      <c r="B53" s="82" t="str">
        <f>+IFERROR(B52/A52-1,"nm")</f>
        <v>nm</v>
      </c>
      <c r="C53" s="82">
        <f t="shared" ref="C53:I53" si="72">+IFERROR(C52/B52-1,"nm")</f>
        <v>2.6522593320235766E-2</v>
      </c>
      <c r="D53" s="82">
        <f t="shared" si="72"/>
        <v>5.2358168147641937E-2</v>
      </c>
      <c r="E53" s="82">
        <f t="shared" si="72"/>
        <v>0.20057157703299566</v>
      </c>
      <c r="F53" s="82">
        <f t="shared" si="72"/>
        <v>6.1674962129409261E-2</v>
      </c>
      <c r="G53" s="82">
        <f t="shared" si="72"/>
        <v>-4.7390949857317621E-2</v>
      </c>
      <c r="H53" s="82">
        <f t="shared" si="72"/>
        <v>0.22563389322777372</v>
      </c>
      <c r="I53" s="82">
        <f t="shared" si="72"/>
        <v>8.9298184357541999E-2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workbookViewId="0">
      <selection activeCell="I23" sqref="I23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102.77734375" bestFit="1" customWidth="1"/>
  </cols>
  <sheetData>
    <row r="1" spans="1:15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9">
        <f>+I1+1</f>
        <v>2023</v>
      </c>
      <c r="K1" s="19">
        <f>+J1+1</f>
        <v>2024</v>
      </c>
      <c r="L1" s="19">
        <f>+K1+1</f>
        <v>2025</v>
      </c>
      <c r="M1" s="19">
        <f>+L1+1</f>
        <v>2026</v>
      </c>
      <c r="N1" s="19">
        <f>+M1+1</f>
        <v>2027</v>
      </c>
    </row>
    <row r="2" spans="1:15" x14ac:dyDescent="0.3">
      <c r="A2" s="20" t="s">
        <v>148</v>
      </c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5" x14ac:dyDescent="0.3">
      <c r="A3" s="1" t="s">
        <v>136</v>
      </c>
      <c r="B3" s="8">
        <f>[2]Historicals!B2</f>
        <v>30601</v>
      </c>
      <c r="C3" s="8">
        <f>[2]Historicals!C2</f>
        <v>32376</v>
      </c>
      <c r="D3" s="8">
        <f>[2]Historicals!D2</f>
        <v>34350</v>
      </c>
      <c r="E3" s="8">
        <f>[2]Historicals!E2</f>
        <v>36397</v>
      </c>
      <c r="F3" s="8">
        <f>[2]Historicals!F2</f>
        <v>39117</v>
      </c>
      <c r="G3" s="8">
        <f>[2]Historicals!G2</f>
        <v>37403</v>
      </c>
      <c r="H3" s="8">
        <f>[2]Historicals!H2</f>
        <v>44538</v>
      </c>
      <c r="I3" s="8">
        <f>[2]Historicals!I2</f>
        <v>46710</v>
      </c>
      <c r="J3" s="8"/>
      <c r="K3" s="8"/>
      <c r="L3" s="8"/>
      <c r="M3" s="8"/>
      <c r="N3" s="8"/>
      <c r="O3" t="s">
        <v>196</v>
      </c>
    </row>
    <row r="4" spans="1:15" x14ac:dyDescent="0.3">
      <c r="A4" s="22" t="s">
        <v>129</v>
      </c>
      <c r="B4" s="8" t="s">
        <v>209</v>
      </c>
      <c r="C4" s="81">
        <f>(C3-B3)/B3</f>
        <v>5.8004640371229696E-2</v>
      </c>
      <c r="D4" s="81">
        <f t="shared" ref="D4:I4" si="1">(D3-C3)/C3</f>
        <v>6.0971089696071165E-2</v>
      </c>
      <c r="E4" s="81">
        <f t="shared" si="1"/>
        <v>5.9592430858806403E-2</v>
      </c>
      <c r="F4" s="81">
        <f t="shared" si="1"/>
        <v>7.4731433909388134E-2</v>
      </c>
      <c r="G4" s="81">
        <f t="shared" si="1"/>
        <v>-4.3817266150267146E-2</v>
      </c>
      <c r="H4" s="81">
        <f t="shared" si="1"/>
        <v>0.1907600994572628</v>
      </c>
      <c r="I4" s="81">
        <f t="shared" si="1"/>
        <v>4.8767344739323724E-2</v>
      </c>
      <c r="J4" s="31"/>
      <c r="K4" s="31"/>
      <c r="L4" s="31"/>
      <c r="M4" s="31"/>
      <c r="N4" s="31"/>
    </row>
    <row r="5" spans="1:15" x14ac:dyDescent="0.3">
      <c r="A5" s="1" t="s">
        <v>149</v>
      </c>
      <c r="B5" s="8">
        <f>'[2]Segmental forecast'!B5-B10</f>
        <v>4718</v>
      </c>
      <c r="C5" s="8">
        <f>'[2]Segmental forecast'!C5</f>
        <v>5180</v>
      </c>
      <c r="D5" s="8">
        <f>'[2]Segmental forecast'!D5</f>
        <v>5532</v>
      </c>
      <c r="E5" s="8">
        <f>'[2]Segmental forecast'!E5</f>
        <v>4983</v>
      </c>
      <c r="F5" s="8">
        <f>'[2]Segmental forecast'!F5</f>
        <v>5408</v>
      </c>
      <c r="G5" s="8">
        <f>'[2]Segmental forecast'!G5</f>
        <v>3560</v>
      </c>
      <c r="H5" s="8">
        <f>'[2]Segmental forecast'!H5</f>
        <v>7500</v>
      </c>
      <c r="I5" s="8">
        <f>'[2]Segmental forecast'!I5</f>
        <v>7417</v>
      </c>
      <c r="J5" s="8"/>
      <c r="K5" s="8"/>
      <c r="L5" s="8"/>
      <c r="M5" s="8"/>
      <c r="N5" s="8"/>
    </row>
    <row r="6" spans="1:15" x14ac:dyDescent="0.3">
      <c r="A6" s="27" t="s">
        <v>132</v>
      </c>
      <c r="B6" s="32">
        <f>'[2]Segmental forecast'!B8</f>
        <v>513</v>
      </c>
      <c r="C6" s="32">
        <f>'[2]Segmental forecast'!C8</f>
        <v>538</v>
      </c>
      <c r="D6" s="32">
        <f>'[2]Segmental forecast'!D8</f>
        <v>587</v>
      </c>
      <c r="E6" s="32">
        <f>'[2]Segmental forecast'!E8</f>
        <v>604</v>
      </c>
      <c r="F6" s="32">
        <f>'[2]Segmental forecast'!F8</f>
        <v>558</v>
      </c>
      <c r="G6" s="32">
        <f>'[2]Segmental forecast'!G8</f>
        <v>584</v>
      </c>
      <c r="H6" s="32">
        <f>'[2]Segmental forecast'!H8</f>
        <v>577</v>
      </c>
      <c r="I6" s="32">
        <f>'[2]Segmental forecast'!I8</f>
        <v>561</v>
      </c>
      <c r="J6" s="32"/>
      <c r="K6" s="32"/>
      <c r="L6" s="32"/>
      <c r="M6" s="32"/>
      <c r="N6" s="32"/>
    </row>
    <row r="7" spans="1:15" x14ac:dyDescent="0.3">
      <c r="A7" s="4" t="s">
        <v>134</v>
      </c>
      <c r="B7" s="5">
        <f>'[2]Segmental forecast'!B11</f>
        <v>4233</v>
      </c>
      <c r="C7" s="5">
        <f>'[2]Segmental forecast'!C11</f>
        <v>4642</v>
      </c>
      <c r="D7" s="5">
        <f>'[2]Segmental forecast'!D11</f>
        <v>4945</v>
      </c>
      <c r="E7" s="5">
        <f>'[2]Segmental forecast'!E11</f>
        <v>4379</v>
      </c>
      <c r="F7" s="5">
        <f>'[2]Segmental forecast'!F11</f>
        <v>4850</v>
      </c>
      <c r="G7" s="5">
        <f>'[2]Segmental forecast'!G11</f>
        <v>2976</v>
      </c>
      <c r="H7" s="5">
        <f>'[2]Segmental forecast'!H11</f>
        <v>6923</v>
      </c>
      <c r="I7" s="5">
        <f>'[2]Segmental forecast'!I11</f>
        <v>6856</v>
      </c>
      <c r="J7" s="5"/>
      <c r="K7" s="5"/>
      <c r="L7" s="5"/>
      <c r="M7" s="5"/>
      <c r="N7" s="5"/>
    </row>
    <row r="8" spans="1:15" x14ac:dyDescent="0.3">
      <c r="A8" s="22" t="s">
        <v>129</v>
      </c>
      <c r="B8" s="75" t="s">
        <v>209</v>
      </c>
      <c r="C8" s="75">
        <f>(C7-B7)/B7</f>
        <v>9.6621781242617527E-2</v>
      </c>
      <c r="D8" s="75">
        <f t="shared" ref="D8:I8" si="2">(D7-C7)/C7</f>
        <v>6.527358897027144E-2</v>
      </c>
      <c r="E8" s="75">
        <f t="shared" si="2"/>
        <v>-0.11445904954499495</v>
      </c>
      <c r="F8" s="75">
        <f t="shared" si="2"/>
        <v>0.10755880337976707</v>
      </c>
      <c r="G8" s="75">
        <f t="shared" si="2"/>
        <v>-0.38639175257731961</v>
      </c>
      <c r="H8" s="75">
        <f t="shared" si="2"/>
        <v>1.32627688172043</v>
      </c>
      <c r="I8" s="75">
        <f t="shared" si="2"/>
        <v>-9.6778853098367767E-3</v>
      </c>
      <c r="J8" s="31"/>
      <c r="K8" s="31"/>
      <c r="L8" s="31"/>
      <c r="M8" s="31"/>
      <c r="N8" s="31"/>
    </row>
    <row r="9" spans="1:15" x14ac:dyDescent="0.3">
      <c r="A9" s="22" t="s">
        <v>131</v>
      </c>
      <c r="B9" s="75" t="s">
        <v>209</v>
      </c>
      <c r="C9" s="75">
        <f>+IFERROR(C7/C$3,"nm")</f>
        <v>0.14337781072399308</v>
      </c>
      <c r="D9" s="75">
        <f t="shared" ref="D9:I9" si="3">+IFERROR(D7/D$3,"nm")</f>
        <v>0.14395924308588065</v>
      </c>
      <c r="E9" s="75">
        <f t="shared" si="3"/>
        <v>0.12031211363573921</v>
      </c>
      <c r="F9" s="75">
        <f t="shared" si="3"/>
        <v>0.12398701331901731</v>
      </c>
      <c r="G9" s="75">
        <f t="shared" si="3"/>
        <v>7.9565810229126011E-2</v>
      </c>
      <c r="H9" s="75">
        <f t="shared" si="3"/>
        <v>0.1554402981723472</v>
      </c>
      <c r="I9" s="75">
        <f t="shared" si="3"/>
        <v>0.14677799186469706</v>
      </c>
      <c r="J9" s="31"/>
      <c r="K9" s="31"/>
      <c r="L9" s="31"/>
      <c r="M9" s="31"/>
      <c r="N9" s="31"/>
    </row>
    <row r="10" spans="1:15" x14ac:dyDescent="0.3">
      <c r="A10" s="2" t="s">
        <v>24</v>
      </c>
      <c r="B10" s="3">
        <f>[2]Historicals!B8</f>
        <v>28</v>
      </c>
      <c r="C10" s="3">
        <f>[2]Historicals!C8</f>
        <v>19</v>
      </c>
      <c r="D10" s="3">
        <f>[2]Historicals!D8</f>
        <v>59</v>
      </c>
      <c r="E10" s="3">
        <f>[2]Historicals!E8</f>
        <v>54</v>
      </c>
      <c r="F10" s="3">
        <f>[2]Historicals!F8</f>
        <v>49</v>
      </c>
      <c r="G10" s="3">
        <f>[2]Historicals!G8</f>
        <v>89</v>
      </c>
      <c r="H10" s="3">
        <f>[2]Historicals!H8</f>
        <v>262</v>
      </c>
      <c r="I10" s="3">
        <f>[2]Historicals!I8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4205</v>
      </c>
      <c r="C11" s="5">
        <f t="shared" ref="C11:I11" si="4">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[2]Historicals!B101</f>
        <v>1262</v>
      </c>
      <c r="C12" s="3">
        <f>[2]Historicals!C101</f>
        <v>748</v>
      </c>
      <c r="D12" s="3">
        <f>[2]Historicals!D101</f>
        <v>703</v>
      </c>
      <c r="E12" s="3">
        <f>[2]Historicals!E101</f>
        <v>529</v>
      </c>
      <c r="F12" s="3">
        <f>[2]Historicals!F101</f>
        <v>757</v>
      </c>
      <c r="G12" s="3">
        <f>[2]Historicals!G101</f>
        <v>1028</v>
      </c>
      <c r="H12" s="3">
        <f>[2]Historicals!H101</f>
        <v>1177</v>
      </c>
      <c r="I12" s="3">
        <f>[2]Historicals!I101</f>
        <v>1231</v>
      </c>
      <c r="J12" s="3"/>
      <c r="K12" s="3"/>
      <c r="L12" s="3"/>
      <c r="M12" s="3"/>
      <c r="N12" s="3"/>
    </row>
    <row r="13" spans="1:15" x14ac:dyDescent="0.3">
      <c r="A13" s="28" t="s">
        <v>151</v>
      </c>
      <c r="B13" s="76">
        <f>B12/B11</f>
        <v>0.30011890606420927</v>
      </c>
      <c r="C13" s="76">
        <f t="shared" ref="C13:I13" si="5">C12/C11</f>
        <v>0.16179969716634221</v>
      </c>
      <c r="D13" s="76">
        <f t="shared" si="5"/>
        <v>0.14388047482603356</v>
      </c>
      <c r="E13" s="76">
        <f t="shared" si="5"/>
        <v>0.12231213872832369</v>
      </c>
      <c r="F13" s="76">
        <f t="shared" si="5"/>
        <v>0.15767548427410957</v>
      </c>
      <c r="G13" s="76">
        <f t="shared" si="5"/>
        <v>0.35607897471423622</v>
      </c>
      <c r="H13" s="76">
        <f t="shared" si="5"/>
        <v>0.176700195165891</v>
      </c>
      <c r="I13" s="76">
        <f t="shared" si="5"/>
        <v>0.18508494963163435</v>
      </c>
      <c r="J13" s="34"/>
      <c r="K13" s="34"/>
      <c r="L13" s="34"/>
      <c r="M13" s="34"/>
      <c r="N13" s="34"/>
    </row>
    <row r="14" spans="1:15" ht="15" thickBot="1" x14ac:dyDescent="0.35">
      <c r="A14" s="6" t="s">
        <v>152</v>
      </c>
      <c r="B14" s="7">
        <f>B11-B12</f>
        <v>2943</v>
      </c>
      <c r="C14" s="7">
        <f t="shared" ref="C14:I14" si="6">C11-C12</f>
        <v>3875</v>
      </c>
      <c r="D14" s="7">
        <f t="shared" si="6"/>
        <v>4183</v>
      </c>
      <c r="E14" s="7">
        <f t="shared" si="6"/>
        <v>3796</v>
      </c>
      <c r="F14" s="7">
        <f t="shared" si="6"/>
        <v>4044</v>
      </c>
      <c r="G14" s="7">
        <f t="shared" si="6"/>
        <v>1859</v>
      </c>
      <c r="H14" s="7">
        <f t="shared" si="6"/>
        <v>5484</v>
      </c>
      <c r="I14" s="7">
        <f t="shared" si="6"/>
        <v>5420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[2]Historicals!B18</f>
        <v>1768.8</v>
      </c>
      <c r="C15" s="3">
        <f>[2]Historicals!C18</f>
        <v>1742</v>
      </c>
      <c r="D15" s="3">
        <f>[2]Historicals!D18</f>
        <v>1692</v>
      </c>
      <c r="E15" s="3">
        <f>[2]Historicals!E18</f>
        <v>1659</v>
      </c>
      <c r="F15" s="3">
        <f>[2]Historicals!F18</f>
        <v>1618.4</v>
      </c>
      <c r="G15" s="3">
        <f>[2]Historicals!G18</f>
        <v>1591.6</v>
      </c>
      <c r="H15" s="3">
        <f>[2]Historicals!H18</f>
        <v>1609.4</v>
      </c>
      <c r="I15" s="3">
        <f>[2]Historicals!I18</f>
        <v>1610.8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35">
        <f>[2]Historicals!B15</f>
        <v>1.85</v>
      </c>
      <c r="C16" s="35">
        <f>[2]Historicals!C15</f>
        <v>2.16</v>
      </c>
      <c r="D16" s="35">
        <f>[2]Historicals!D15</f>
        <v>2.5099999999999998</v>
      </c>
      <c r="E16" s="35">
        <f>[2]Historicals!E15</f>
        <v>1.17</v>
      </c>
      <c r="F16" s="35">
        <f>[2]Historicals!F15</f>
        <v>2.46</v>
      </c>
      <c r="G16" s="35">
        <f>[2]Historicals!G15</f>
        <v>1.6</v>
      </c>
      <c r="H16" s="35">
        <f>[2]Historicals!H15</f>
        <v>3.56</v>
      </c>
      <c r="I16" s="35">
        <f>[2]Historicals!I15</f>
        <v>3.75</v>
      </c>
      <c r="J16" s="35"/>
      <c r="K16" s="35"/>
      <c r="L16" s="35"/>
      <c r="M16" s="35"/>
      <c r="N16" s="35"/>
    </row>
    <row r="17" spans="1:15" x14ac:dyDescent="0.3">
      <c r="A17" t="s">
        <v>155</v>
      </c>
      <c r="B17" s="39">
        <f>B16/B15</f>
        <v>1.0459068294889191E-3</v>
      </c>
      <c r="C17" s="39">
        <f t="shared" ref="C17:I17" si="7">C16/C15</f>
        <v>1.2399540757749713E-3</v>
      </c>
      <c r="D17" s="39">
        <f t="shared" si="7"/>
        <v>1.4834515366430258E-3</v>
      </c>
      <c r="E17" s="39">
        <f t="shared" si="7"/>
        <v>7.0524412296564195E-4</v>
      </c>
      <c r="F17" s="39">
        <f t="shared" si="7"/>
        <v>1.5200197726149283E-3</v>
      </c>
      <c r="G17" s="39">
        <f t="shared" si="7"/>
        <v>1.005277707966826E-3</v>
      </c>
      <c r="H17" s="39">
        <f t="shared" si="7"/>
        <v>2.212004473716913E-3</v>
      </c>
      <c r="I17" s="39">
        <f t="shared" si="7"/>
        <v>2.3280357586292527E-3</v>
      </c>
      <c r="J17" s="35"/>
      <c r="K17" s="35"/>
      <c r="L17" s="35"/>
      <c r="M17" s="35"/>
      <c r="N17" s="35"/>
    </row>
    <row r="18" spans="1:15" x14ac:dyDescent="0.3">
      <c r="A18" s="28" t="s">
        <v>129</v>
      </c>
      <c r="B18" s="76" t="s">
        <v>209</v>
      </c>
      <c r="C18" s="76">
        <f>(C16/B16)</f>
        <v>1.1675675675675676</v>
      </c>
      <c r="D18" s="76">
        <f t="shared" ref="D18:I18" si="8">(D16/C16)</f>
        <v>1.1620370370370368</v>
      </c>
      <c r="E18" s="76">
        <f t="shared" si="8"/>
        <v>0.46613545816733071</v>
      </c>
      <c r="F18" s="76">
        <f t="shared" si="8"/>
        <v>2.1025641025641026</v>
      </c>
      <c r="G18" s="76">
        <f t="shared" si="8"/>
        <v>0.65040650406504075</v>
      </c>
      <c r="H18" s="76">
        <f t="shared" si="8"/>
        <v>2.2250000000000001</v>
      </c>
      <c r="I18" s="76">
        <f t="shared" si="8"/>
        <v>1.053370786516854</v>
      </c>
      <c r="J18" s="34"/>
      <c r="K18" s="34"/>
      <c r="L18" s="34"/>
      <c r="M18" s="34"/>
      <c r="N18" s="34"/>
      <c r="O18" t="s">
        <v>198</v>
      </c>
    </row>
    <row r="19" spans="1:15" x14ac:dyDescent="0.3">
      <c r="A19" s="28" t="s">
        <v>156</v>
      </c>
      <c r="B19" s="40">
        <f>B17/B15</f>
        <v>5.9130870052516907E-7</v>
      </c>
      <c r="C19" s="40">
        <f t="shared" ref="C19:N19" si="9">C17/C15</f>
        <v>7.1179912501433488E-7</v>
      </c>
      <c r="D19" s="40">
        <f t="shared" si="9"/>
        <v>8.7674440699942428E-7</v>
      </c>
      <c r="E19" s="40">
        <f t="shared" si="9"/>
        <v>4.2510194271587823E-7</v>
      </c>
      <c r="F19" s="40">
        <f t="shared" si="9"/>
        <v>9.3921142647981228E-7</v>
      </c>
      <c r="G19" s="40">
        <f t="shared" si="9"/>
        <v>6.3161454383439685E-7</v>
      </c>
      <c r="H19" s="40">
        <f t="shared" si="9"/>
        <v>1.3744280313886622E-6</v>
      </c>
      <c r="I19" s="40">
        <f t="shared" si="9"/>
        <v>1.4452667982550613E-6</v>
      </c>
      <c r="J19" s="40" t="e">
        <f t="shared" si="9"/>
        <v>#DIV/0!</v>
      </c>
      <c r="K19" s="40" t="e">
        <f t="shared" si="9"/>
        <v>#DIV/0!</v>
      </c>
      <c r="L19" s="40" t="e">
        <f t="shared" si="9"/>
        <v>#DIV/0!</v>
      </c>
      <c r="M19" s="40" t="e">
        <f t="shared" si="9"/>
        <v>#DIV/0!</v>
      </c>
      <c r="N19" s="40" t="e">
        <f t="shared" si="9"/>
        <v>#DIV/0!</v>
      </c>
      <c r="O19" t="s">
        <v>198</v>
      </c>
    </row>
    <row r="20" spans="1:15" x14ac:dyDescent="0.3">
      <c r="A20" s="29" t="s">
        <v>157</v>
      </c>
      <c r="B20" s="20"/>
      <c r="C20" s="20"/>
      <c r="D20" s="20"/>
      <c r="E20" s="20"/>
      <c r="F20" s="20"/>
      <c r="G20" s="20"/>
      <c r="H20" s="20"/>
      <c r="I20" s="20"/>
      <c r="J20" s="19"/>
      <c r="K20" s="19"/>
      <c r="L20" s="19"/>
      <c r="M20" s="19"/>
      <c r="N20" s="19"/>
    </row>
    <row r="21" spans="1:15" x14ac:dyDescent="0.3">
      <c r="A21" t="s">
        <v>158</v>
      </c>
      <c r="B21" s="3">
        <f>[2]Historicals!B25</f>
        <v>3852</v>
      </c>
      <c r="C21" s="3">
        <f>[2]Historicals!C25</f>
        <v>3138</v>
      </c>
      <c r="D21" s="3">
        <f>[2]Historicals!D25</f>
        <v>3808</v>
      </c>
      <c r="E21" s="3">
        <f>[2]Historicals!E25</f>
        <v>4249</v>
      </c>
      <c r="F21" s="3">
        <f>[2]Historicals!F25</f>
        <v>4466</v>
      </c>
      <c r="G21" s="3">
        <f>[2]Historicals!G25</f>
        <v>8348</v>
      </c>
      <c r="H21" s="3">
        <f>[2]Historicals!H25</f>
        <v>9889</v>
      </c>
      <c r="I21" s="3">
        <f>[2]Historicals!I25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[2]Historicals!B59-[2]Historicals!B25</f>
        <v>17745</v>
      </c>
      <c r="C22" s="3">
        <f>[2]Historicals!C59-[2]Historicals!C25</f>
        <v>18241</v>
      </c>
      <c r="D22" s="3">
        <f>[2]Historicals!D59-[2]Historicals!D25</f>
        <v>19451</v>
      </c>
      <c r="E22" s="3">
        <f>[2]Historicals!E59-[2]Historicals!E25</f>
        <v>18287</v>
      </c>
      <c r="F22" s="3">
        <f>[2]Historicals!F59-[2]Historicals!F25</f>
        <v>19251</v>
      </c>
      <c r="G22" s="3">
        <f>[2]Historicals!G59-[2]Historicals!G25</f>
        <v>22994</v>
      </c>
      <c r="H22" s="3">
        <f>[2]Historicals!H59-[2]Historicals!H25</f>
        <v>27851</v>
      </c>
      <c r="I22" s="3">
        <f>[2]Historicals!I59-[2]Historicals!I25</f>
        <v>31747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Historicals!J28+Historicals!J27-Historicals!J41</f>
        <v>0</v>
      </c>
      <c r="K23" s="3">
        <f>Historicals!K28+Historicals!K27-Historicals!K41</f>
        <v>0</v>
      </c>
      <c r="L23" s="3">
        <f>Historicals!L28+Historicals!L27-Historicals!L41</f>
        <v>0</v>
      </c>
      <c r="M23" s="3">
        <f>Historicals!M28+Historicals!M27-Historicals!M41</f>
        <v>0</v>
      </c>
      <c r="N23" s="3">
        <f>Historicals!N28+Historicals!N27-Historicals!N41</f>
        <v>0</v>
      </c>
      <c r="O23" t="s">
        <v>203</v>
      </c>
    </row>
    <row r="24" spans="1:15" x14ac:dyDescent="0.3">
      <c r="A24" s="28" t="s">
        <v>161</v>
      </c>
      <c r="B24" s="76">
        <f>B23/B3</f>
        <v>0.18182412339466031</v>
      </c>
      <c r="C24" s="76">
        <f t="shared" ref="C24:I24" si="10">C23/C3</f>
        <v>0.1818631084754139</v>
      </c>
      <c r="D24" s="76">
        <f t="shared" si="10"/>
        <v>0.19458515283842795</v>
      </c>
      <c r="E24" s="76">
        <f t="shared" si="10"/>
        <v>0.17803665137236585</v>
      </c>
      <c r="F24" s="76">
        <f t="shared" si="10"/>
        <v>0.18615947030702765</v>
      </c>
      <c r="G24" s="76">
        <f t="shared" si="10"/>
        <v>0.21035745795791783</v>
      </c>
      <c r="H24" s="76">
        <f t="shared" si="10"/>
        <v>0.19042166240064665</v>
      </c>
      <c r="I24" s="76">
        <f t="shared" si="10"/>
        <v>0.20828516377649325</v>
      </c>
      <c r="J24" s="34"/>
      <c r="K24" s="34"/>
      <c r="L24" s="34"/>
      <c r="M24" s="34"/>
      <c r="N24" s="34"/>
    </row>
    <row r="25" spans="1:15" x14ac:dyDescent="0.3">
      <c r="A25" t="s">
        <v>162</v>
      </c>
      <c r="B25" s="3">
        <f>SUM([2]Historicals!B26:B29)</f>
        <v>11735</v>
      </c>
      <c r="C25" s="3">
        <f>SUM([2]Historicals!C26:C29)</f>
        <v>11887</v>
      </c>
      <c r="D25" s="3">
        <f>SUM([2]Historicals!D26:D29)</f>
        <v>12253</v>
      </c>
      <c r="E25" s="3">
        <f>SUM([2]Historicals!E26:E29)</f>
        <v>10885</v>
      </c>
      <c r="F25" s="3">
        <f>SUM([2]Historicals!F26:F29)</f>
        <v>12059</v>
      </c>
      <c r="G25" s="3">
        <f>SUM([2]Historicals!G26:G29)</f>
        <v>12208</v>
      </c>
      <c r="H25" s="3">
        <f>SUM([2]Historicals!H26:H29)</f>
        <v>16402</v>
      </c>
      <c r="I25" s="3">
        <f>SUM([2]Historicals!I26:I29)</f>
        <v>19639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[2]Historicals!B31</f>
        <v>3011</v>
      </c>
      <c r="C26" s="3">
        <f>[2]Historicals!C31</f>
        <v>3520</v>
      </c>
      <c r="D26" s="3">
        <f>[2]Historicals!D31</f>
        <v>3989</v>
      </c>
      <c r="E26" s="3">
        <f>[2]Historicals!E31</f>
        <v>4454</v>
      </c>
      <c r="F26" s="3">
        <f>[2]Historicals!F31</f>
        <v>4744</v>
      </c>
      <c r="G26" s="3">
        <f>[2]Historicals!G31</f>
        <v>4866</v>
      </c>
      <c r="H26" s="3">
        <f>[2]Historicals!H31</f>
        <v>4904</v>
      </c>
      <c r="I26" s="3">
        <f>[2]Historicals!I31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[2]Historicals!B33</f>
        <v>281</v>
      </c>
      <c r="C27" s="3">
        <f>[2]Historicals!C33</f>
        <v>281</v>
      </c>
      <c r="D27" s="3">
        <f>[2]Historicals!D33</f>
        <v>283</v>
      </c>
      <c r="E27" s="3">
        <f>[2]Historicals!E33</f>
        <v>285</v>
      </c>
      <c r="F27" s="3">
        <f>[2]Historicals!F33</f>
        <v>283</v>
      </c>
      <c r="G27" s="3">
        <f>[2]Historicals!G33</f>
        <v>274</v>
      </c>
      <c r="H27" s="3">
        <f>[2]Historicals!H33</f>
        <v>269</v>
      </c>
      <c r="I27" s="3">
        <f>[2]Historicals!I33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[2]Historicals!B34</f>
        <v>131</v>
      </c>
      <c r="C28" s="3">
        <f>[2]Historicals!C34</f>
        <v>131</v>
      </c>
      <c r="D28" s="3">
        <f>[2]Historicals!D34</f>
        <v>139</v>
      </c>
      <c r="E28" s="3">
        <f>[2]Historicals!E34</f>
        <v>154</v>
      </c>
      <c r="F28" s="3">
        <f>[2]Historicals!F34</f>
        <v>154</v>
      </c>
      <c r="G28" s="3">
        <f>[2]Historicals!G34</f>
        <v>223</v>
      </c>
      <c r="H28" s="3">
        <f>[2]Historicals!H34</f>
        <v>242</v>
      </c>
      <c r="I28" s="3">
        <f>[2]Historicals!I34</f>
        <v>284</v>
      </c>
      <c r="J28" s="3"/>
      <c r="K28" s="3"/>
      <c r="L28" s="3"/>
      <c r="M28" s="3"/>
      <c r="N28" s="3"/>
    </row>
    <row r="29" spans="1:15" x14ac:dyDescent="0.3">
      <c r="A29" s="30" t="s">
        <v>38</v>
      </c>
      <c r="B29" s="3">
        <f>[2]Historicals!B32</f>
        <v>0</v>
      </c>
      <c r="C29" s="3">
        <f>[2]Historicals!C32</f>
        <v>0</v>
      </c>
      <c r="D29" s="3">
        <f>[2]Historicals!D32</f>
        <v>0</v>
      </c>
      <c r="E29" s="3">
        <f>[2]Historicals!E32</f>
        <v>0</v>
      </c>
      <c r="F29" s="3">
        <f>[2]Historicals!F32</f>
        <v>0</v>
      </c>
      <c r="G29" s="3">
        <f>[2]Historicals!G32</f>
        <v>3097</v>
      </c>
      <c r="H29" s="3">
        <f>[2]Historicals!H32</f>
        <v>3113</v>
      </c>
      <c r="I29" s="3">
        <f>[2]Historicals!I32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+B25</f>
        <v>11735</v>
      </c>
      <c r="C30" s="3">
        <f>[2]Historicals!C35</f>
        <v>2422</v>
      </c>
      <c r="D30" s="3">
        <f>[2]Historicals!D35</f>
        <v>2787</v>
      </c>
      <c r="E30" s="3">
        <f>[2]Historicals!E35</f>
        <v>2509</v>
      </c>
      <c r="F30" s="3">
        <f>[2]Historicals!F35</f>
        <v>2011</v>
      </c>
      <c r="G30" s="3">
        <f>[2]Historicals!G35</f>
        <v>2326</v>
      </c>
      <c r="H30" s="3">
        <f>[2]Historicals!H35</f>
        <v>2921</v>
      </c>
      <c r="I30" s="3">
        <f>[2]Historicals!I35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SUM(B26:B30)</f>
        <v>15158</v>
      </c>
      <c r="C31" s="7">
        <f t="shared" ref="C31:I31" si="11">SUM(C26:C30)</f>
        <v>6354</v>
      </c>
      <c r="D31" s="7">
        <f t="shared" si="11"/>
        <v>7198</v>
      </c>
      <c r="E31" s="7">
        <f t="shared" si="11"/>
        <v>7402</v>
      </c>
      <c r="F31" s="7">
        <f t="shared" si="11"/>
        <v>7192</v>
      </c>
      <c r="G31" s="7">
        <f t="shared" si="11"/>
        <v>10786</v>
      </c>
      <c r="H31" s="7">
        <f t="shared" si="11"/>
        <v>11449</v>
      </c>
      <c r="I31" s="7">
        <f t="shared" si="11"/>
        <v>12108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[2]Historicals!B39</f>
        <v>107</v>
      </c>
      <c r="C33" s="3">
        <f>[2]Historicals!C39</f>
        <v>44</v>
      </c>
      <c r="D33" s="3">
        <f>[2]Historicals!D39</f>
        <v>6</v>
      </c>
      <c r="E33" s="3">
        <f>[2]Historicals!E39</f>
        <v>6</v>
      </c>
      <c r="F33" s="3">
        <f>[2]Historicals!F39</f>
        <v>6</v>
      </c>
      <c r="G33" s="3">
        <f>[2]Historicals!G39</f>
        <v>3</v>
      </c>
      <c r="H33" s="3">
        <f>[2]Historicals!H39</f>
        <v>0</v>
      </c>
      <c r="I33" s="3">
        <f>[2]Historicals!I39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[2]Historicals!B40</f>
        <v>74</v>
      </c>
      <c r="C34" s="3">
        <f>[2]Historicals!C40</f>
        <v>1</v>
      </c>
      <c r="D34" s="3">
        <f>[2]Historicals!D40</f>
        <v>325</v>
      </c>
      <c r="E34" s="3">
        <f>[2]Historicals!E40</f>
        <v>336</v>
      </c>
      <c r="F34" s="3">
        <f>[2]Historicals!F40</f>
        <v>9</v>
      </c>
      <c r="G34" s="3">
        <f>[2]Historicals!G40</f>
        <v>248</v>
      </c>
      <c r="H34" s="3">
        <f>[2]Historicals!H40</f>
        <v>2</v>
      </c>
      <c r="I34" s="3">
        <f>[2]Historicals!I40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SUM([2]Historicals!B41:B44)</f>
        <v>6151</v>
      </c>
      <c r="C35" s="3">
        <f>SUM([2]Historicals!C41:C44)</f>
        <v>5313</v>
      </c>
      <c r="D35" s="3">
        <f>SUM([2]Historicals!D41:D44)</f>
        <v>5143</v>
      </c>
      <c r="E35" s="3">
        <f>SUM([2]Historicals!E41:E44)</f>
        <v>5698</v>
      </c>
      <c r="F35" s="3">
        <f>SUM([2]Historicals!F41:F44)</f>
        <v>7851</v>
      </c>
      <c r="G35" s="3">
        <f>SUM([2]Historicals!G41:G44)</f>
        <v>8033</v>
      </c>
      <c r="H35" s="3">
        <f>SUM([2]Historicals!H41:H44)</f>
        <v>9672</v>
      </c>
      <c r="I35" s="3">
        <f>SUM([2]Historicals!I41:I44)</f>
        <v>10220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[2]Historicals!B46</f>
        <v>1079</v>
      </c>
      <c r="C36" s="3">
        <f>[2]Historicals!C46</f>
        <v>1993</v>
      </c>
      <c r="D36" s="3">
        <f>[2]Historicals!D46</f>
        <v>3471</v>
      </c>
      <c r="E36" s="3">
        <f>[2]Historicals!E46</f>
        <v>3468</v>
      </c>
      <c r="F36" s="3">
        <f>[2]Historicals!F46</f>
        <v>3464</v>
      </c>
      <c r="G36" s="3">
        <f>[2]Historicals!G46</f>
        <v>9406</v>
      </c>
      <c r="H36" s="3">
        <f>[2]Historicals!H46</f>
        <v>9413</v>
      </c>
      <c r="I36" s="3">
        <f>[2]Historicals!I46</f>
        <v>8920</v>
      </c>
      <c r="J36" s="3"/>
      <c r="K36" s="3"/>
      <c r="L36" s="3"/>
      <c r="M36" s="3"/>
      <c r="N36" s="3"/>
    </row>
    <row r="37" spans="1:15" x14ac:dyDescent="0.3">
      <c r="A37" s="30" t="s">
        <v>50</v>
      </c>
      <c r="B37" s="3">
        <f>[2]Historicals!B47</f>
        <v>0</v>
      </c>
      <c r="C37" s="3">
        <f>[2]Historicals!C47</f>
        <v>0</v>
      </c>
      <c r="D37" s="3">
        <f>[2]Historicals!D47</f>
        <v>0</v>
      </c>
      <c r="E37" s="3">
        <f>[2]Historicals!E47</f>
        <v>0</v>
      </c>
      <c r="F37" s="3">
        <f>[2]Historicals!F47</f>
        <v>0</v>
      </c>
      <c r="G37" s="3">
        <f>[2]Historicals!G47</f>
        <v>2913</v>
      </c>
      <c r="H37" s="3">
        <f>[2]Historicals!H47</f>
        <v>2931</v>
      </c>
      <c r="I37" s="3">
        <f>[2]Historicals!I47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SUM([2]Historicals!B48:B57)</f>
        <v>14186</v>
      </c>
      <c r="C38" s="3">
        <f>SUM([2]Historicals!C48:C57)</f>
        <v>14028</v>
      </c>
      <c r="D38" s="3">
        <f>SUM([2]Historicals!D48:D57)</f>
        <v>14314</v>
      </c>
      <c r="E38" s="3">
        <f>SUM([2]Historicals!E48:E57)</f>
        <v>13028</v>
      </c>
      <c r="F38" s="3">
        <f>SUM([2]Historicals!F48:F57)</f>
        <v>12387</v>
      </c>
      <c r="G38" s="3">
        <f>SUM([2]Historicals!G48:G57)</f>
        <v>10739</v>
      </c>
      <c r="H38" s="3">
        <f>SUM([2]Historicals!H48:H57)</f>
        <v>15722</v>
      </c>
      <c r="I38" s="3">
        <f>SUM([2]Historicals!I48:I57)</f>
        <v>17894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>
        <f>[2]Historicals!B58</f>
        <v>12707</v>
      </c>
      <c r="C39" s="3">
        <f>[2]Historicals!C58</f>
        <v>12258</v>
      </c>
      <c r="D39" s="3">
        <f>[2]Historicals!D58</f>
        <v>12407</v>
      </c>
      <c r="E39" s="3">
        <f>[2]Historicals!E58</f>
        <v>9812</v>
      </c>
      <c r="F39" s="3">
        <f>[2]Historicals!F58</f>
        <v>9040</v>
      </c>
      <c r="G39" s="3">
        <f>[2]Historicals!G58</f>
        <v>8055</v>
      </c>
      <c r="H39" s="3">
        <f>[2]Historicals!H58</f>
        <v>12767</v>
      </c>
      <c r="I39" s="3">
        <f>[2]Historicals!I58</f>
        <v>15281</v>
      </c>
      <c r="J39" s="3"/>
      <c r="K39" s="3"/>
      <c r="L39" s="3"/>
      <c r="M39" s="3"/>
      <c r="N39" s="3"/>
    </row>
    <row r="40" spans="1:15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SUM(B33:B42)</f>
        <v>34304</v>
      </c>
      <c r="C43" s="7">
        <f t="shared" ref="C43:I43" si="12">SUM(C33:C42)</f>
        <v>33637</v>
      </c>
      <c r="D43" s="7">
        <f t="shared" si="12"/>
        <v>35666</v>
      </c>
      <c r="E43" s="7">
        <f t="shared" si="12"/>
        <v>32348</v>
      </c>
      <c r="F43" s="7">
        <f t="shared" si="12"/>
        <v>32757</v>
      </c>
      <c r="G43" s="7">
        <f t="shared" si="12"/>
        <v>39397</v>
      </c>
      <c r="H43" s="7">
        <f t="shared" si="12"/>
        <v>50507</v>
      </c>
      <c r="I43" s="7">
        <f t="shared" si="12"/>
        <v>55602</v>
      </c>
      <c r="J43" s="7"/>
      <c r="K43" s="7"/>
      <c r="L43" s="7"/>
      <c r="M43" s="7"/>
      <c r="N43" s="7"/>
    </row>
    <row r="44" spans="1:15" s="1" customFormat="1" ht="15" thickTop="1" x14ac:dyDescent="0.3">
      <c r="A44" s="38" t="s">
        <v>175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5" x14ac:dyDescent="0.3">
      <c r="A45" s="29" t="s">
        <v>205</v>
      </c>
      <c r="B45" s="20"/>
      <c r="C45" s="20"/>
      <c r="D45" s="20"/>
      <c r="E45" s="20"/>
      <c r="F45" s="20"/>
      <c r="G45" s="20"/>
      <c r="H45" s="20"/>
      <c r="I45" s="20"/>
      <c r="J45" s="19"/>
      <c r="K45" s="19"/>
      <c r="L45" s="19"/>
      <c r="M45" s="19"/>
      <c r="N45" s="19"/>
    </row>
    <row r="46" spans="1:15" x14ac:dyDescent="0.3">
      <c r="A46" s="1" t="s">
        <v>134</v>
      </c>
      <c r="B46" s="8">
        <f>'Segmental forecast'!B11</f>
        <v>4233</v>
      </c>
      <c r="C46" s="8">
        <f>'Segmental forecast'!C11</f>
        <v>4642</v>
      </c>
      <c r="D46" s="8">
        <f>'Segmental forecast'!D11</f>
        <v>4945</v>
      </c>
      <c r="E46" s="8">
        <f>'Segmental forecast'!E11</f>
        <v>4379</v>
      </c>
      <c r="F46" s="8">
        <f>'Segmental forecast'!F11</f>
        <v>4850</v>
      </c>
      <c r="G46" s="8">
        <f>'Segmental forecast'!G11</f>
        <v>2976</v>
      </c>
      <c r="H46" s="8">
        <f>'Segmental forecast'!H11</f>
        <v>6923</v>
      </c>
      <c r="I46" s="8">
        <f>'Segmental forecast'!I11</f>
        <v>6856</v>
      </c>
      <c r="J46" s="8"/>
      <c r="K46" s="8"/>
      <c r="L46" s="8"/>
      <c r="M46" s="8"/>
      <c r="N46" s="8"/>
      <c r="O46" t="s">
        <v>202</v>
      </c>
    </row>
    <row r="47" spans="1:15" x14ac:dyDescent="0.3">
      <c r="A47" t="s">
        <v>132</v>
      </c>
      <c r="B47" s="36">
        <f>'Segmental forecast'!B8</f>
        <v>513</v>
      </c>
      <c r="C47" s="77">
        <f>'Segmental forecast'!C8</f>
        <v>538</v>
      </c>
      <c r="D47" s="77">
        <f>'Segmental forecast'!D8</f>
        <v>587</v>
      </c>
      <c r="E47" s="77">
        <f>'Segmental forecast'!E8</f>
        <v>604</v>
      </c>
      <c r="F47" s="77">
        <f>'Segmental forecast'!F8</f>
        <v>558</v>
      </c>
      <c r="G47" s="77">
        <f>'Segmental forecast'!G8</f>
        <v>584</v>
      </c>
      <c r="H47" s="77">
        <f>'Segmental forecast'!H8</f>
        <v>577</v>
      </c>
      <c r="I47" s="77">
        <f>'Segmental forecast'!I8</f>
        <v>561</v>
      </c>
      <c r="J47" s="36"/>
      <c r="K47" s="36"/>
      <c r="L47" s="36"/>
      <c r="M47" s="36"/>
      <c r="N47" s="36"/>
      <c r="O47" t="s">
        <v>202</v>
      </c>
    </row>
    <row r="48" spans="1:15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>
        <f>Historicals!J101</f>
        <v>0</v>
      </c>
      <c r="K48" s="3">
        <f>Historicals!K101</f>
        <v>0</v>
      </c>
      <c r="L48" s="3">
        <f>Historicals!L101</f>
        <v>0</v>
      </c>
      <c r="M48" s="3">
        <f>Historicals!M101</f>
        <v>0</v>
      </c>
      <c r="N48" s="3">
        <f>Historicals!N101</f>
        <v>0</v>
      </c>
      <c r="O48" t="s">
        <v>206</v>
      </c>
    </row>
    <row r="49" spans="1:15" x14ac:dyDescent="0.3">
      <c r="A49" s="1" t="s">
        <v>177</v>
      </c>
      <c r="B49" s="8">
        <f>B46-B47-B48</f>
        <v>2458</v>
      </c>
      <c r="C49" s="8">
        <f t="shared" ref="C49:I49" si="13">C46-C47-C48</f>
        <v>3356</v>
      </c>
      <c r="D49" s="8">
        <f t="shared" si="13"/>
        <v>3655</v>
      </c>
      <c r="E49" s="8">
        <f t="shared" si="13"/>
        <v>3246</v>
      </c>
      <c r="F49" s="8">
        <f t="shared" si="13"/>
        <v>3535</v>
      </c>
      <c r="G49" s="8">
        <f t="shared" si="13"/>
        <v>1364</v>
      </c>
      <c r="H49" s="8">
        <f t="shared" si="13"/>
        <v>5169</v>
      </c>
      <c r="I49" s="8">
        <f t="shared" si="13"/>
        <v>5064</v>
      </c>
      <c r="J49" s="8"/>
      <c r="K49" s="8"/>
      <c r="L49" s="8"/>
      <c r="M49" s="8"/>
      <c r="N49" s="8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>
        <v>8669</v>
      </c>
      <c r="C51" s="3">
        <f>C23</f>
        <v>5888</v>
      </c>
      <c r="D51" s="3">
        <f t="shared" ref="D51:I51" si="14">D23</f>
        <v>6684</v>
      </c>
      <c r="E51" s="3">
        <f t="shared" si="14"/>
        <v>6480</v>
      </c>
      <c r="F51" s="3">
        <f t="shared" si="14"/>
        <v>7282</v>
      </c>
      <c r="G51" s="3">
        <f t="shared" si="14"/>
        <v>7868</v>
      </c>
      <c r="H51" s="3">
        <f t="shared" si="14"/>
        <v>8481</v>
      </c>
      <c r="I51" s="3">
        <f t="shared" si="14"/>
        <v>9729</v>
      </c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>
        <f>Historicals!B81-Historicals!B102</f>
        <v>-1169</v>
      </c>
      <c r="C52" s="3">
        <f>Historicals!C81-Historicals!C102</f>
        <v>-1395</v>
      </c>
      <c r="D52" s="3">
        <f>Historicals!D81-Historicals!D102</f>
        <v>-1358</v>
      </c>
      <c r="E52" s="3">
        <f>Historicals!E81-Historicals!E102</f>
        <v>-1322</v>
      </c>
      <c r="F52" s="3">
        <f>Historicals!F81-Historicals!F102</f>
        <v>-1279</v>
      </c>
      <c r="G52" s="3">
        <f>Historicals!G81-Historicals!G102</f>
        <v>-1207</v>
      </c>
      <c r="H52" s="3">
        <f>Historicals!H81-Historicals!H102</f>
        <v>-874</v>
      </c>
      <c r="I52" s="3">
        <f>Historicals!I81-Historicals!I102</f>
        <v>-918</v>
      </c>
      <c r="J52" s="3">
        <f>Historicals!J81-Historicals!J102</f>
        <v>0</v>
      </c>
      <c r="K52" s="3">
        <f>Historicals!K81-Historicals!K102</f>
        <v>0</v>
      </c>
      <c r="L52" s="3">
        <f>Historicals!L81-Historicals!L102</f>
        <v>0</v>
      </c>
      <c r="M52" s="3">
        <f>Historicals!M81-Historicals!M102</f>
        <v>0</v>
      </c>
      <c r="N52" s="3">
        <f>Historicals!N81-Historicals!N102</f>
        <v>0</v>
      </c>
      <c r="O52" t="s">
        <v>208</v>
      </c>
    </row>
    <row r="53" spans="1:15" x14ac:dyDescent="0.3">
      <c r="A53" s="1" t="s">
        <v>180</v>
      </c>
      <c r="B53" s="8">
        <f>B52+B51+B50</f>
        <v>7553</v>
      </c>
      <c r="C53" s="8">
        <f t="shared" ref="C53:I53" si="15">C52+C51+C50</f>
        <v>4563</v>
      </c>
      <c r="D53" s="8">
        <f t="shared" si="15"/>
        <v>5424</v>
      </c>
      <c r="E53" s="8">
        <f t="shared" si="15"/>
        <v>5283</v>
      </c>
      <c r="F53" s="8">
        <f t="shared" si="15"/>
        <v>6156</v>
      </c>
      <c r="G53" s="8">
        <f t="shared" si="15"/>
        <v>6801</v>
      </c>
      <c r="H53" s="8">
        <f t="shared" si="15"/>
        <v>7900</v>
      </c>
      <c r="I53" s="8">
        <f t="shared" si="15"/>
        <v>9101</v>
      </c>
      <c r="J53" s="8"/>
      <c r="K53" s="8"/>
      <c r="L53" s="8"/>
      <c r="M53" s="8"/>
      <c r="N53" s="8"/>
    </row>
    <row r="54" spans="1:15" x14ac:dyDescent="0.3">
      <c r="A54" t="s">
        <v>181</v>
      </c>
      <c r="B54" s="3">
        <f>[2]Historicals!B74</f>
        <v>-144</v>
      </c>
      <c r="C54" s="3">
        <f>[2]Historicals!C74</f>
        <v>-161</v>
      </c>
      <c r="D54" s="3">
        <f>[2]Historicals!D74</f>
        <v>-120</v>
      </c>
      <c r="E54" s="3">
        <f>[2]Historicals!E74</f>
        <v>35</v>
      </c>
      <c r="F54" s="3">
        <f>[2]Historicals!F74</f>
        <v>-203</v>
      </c>
      <c r="G54" s="3">
        <f>[2]Historicals!G74</f>
        <v>-654</v>
      </c>
      <c r="H54" s="3">
        <f>[2]Historicals!H74</f>
        <v>-182</v>
      </c>
      <c r="I54" s="3">
        <f>[2]Historicals!I74</f>
        <v>-845</v>
      </c>
      <c r="J54" s="3"/>
      <c r="K54" s="3"/>
      <c r="L54" s="3"/>
      <c r="M54" s="3"/>
      <c r="N54" s="3"/>
    </row>
    <row r="55" spans="1:15" x14ac:dyDescent="0.3">
      <c r="A55" s="17" t="s">
        <v>182</v>
      </c>
      <c r="B55" s="16">
        <f>B54+B53</f>
        <v>7409</v>
      </c>
      <c r="C55" s="16">
        <f t="shared" ref="C55:N55" si="16">C54+C53</f>
        <v>4402</v>
      </c>
      <c r="D55" s="16">
        <f t="shared" si="16"/>
        <v>5304</v>
      </c>
      <c r="E55" s="16">
        <f t="shared" si="16"/>
        <v>5318</v>
      </c>
      <c r="F55" s="16">
        <f t="shared" si="16"/>
        <v>5953</v>
      </c>
      <c r="G55" s="16">
        <f t="shared" si="16"/>
        <v>6147</v>
      </c>
      <c r="H55" s="16">
        <f t="shared" si="16"/>
        <v>7718</v>
      </c>
      <c r="I55" s="16">
        <f t="shared" si="16"/>
        <v>8256</v>
      </c>
      <c r="J55" s="16">
        <f t="shared" si="16"/>
        <v>0</v>
      </c>
      <c r="K55" s="16">
        <f t="shared" si="16"/>
        <v>0</v>
      </c>
      <c r="L55" s="16">
        <f t="shared" si="16"/>
        <v>0</v>
      </c>
      <c r="M55" s="16">
        <f t="shared" si="16"/>
        <v>0</v>
      </c>
      <c r="N55" s="16">
        <f t="shared" si="16"/>
        <v>0</v>
      </c>
    </row>
    <row r="56" spans="1:15" x14ac:dyDescent="0.3">
      <c r="A56" t="s">
        <v>183</v>
      </c>
      <c r="B56" s="3">
        <f>[2]Historicals!B81</f>
        <v>-963</v>
      </c>
      <c r="C56" s="3">
        <f>[2]Historicals!C81</f>
        <v>-1143</v>
      </c>
      <c r="D56" s="3">
        <f>[2]Historicals!D81</f>
        <v>-1092</v>
      </c>
      <c r="E56" s="3">
        <f>[2]Historicals!E81</f>
        <v>-1028</v>
      </c>
      <c r="F56" s="3">
        <f>[2]Historicals!F81</f>
        <v>-1119</v>
      </c>
      <c r="G56" s="3">
        <f>[2]Historicals!G81</f>
        <v>-1086</v>
      </c>
      <c r="H56" s="3">
        <f>[2]Historicals!H81</f>
        <v>-695</v>
      </c>
      <c r="I56" s="3">
        <f>[2]Historicals!I81</f>
        <v>-758</v>
      </c>
      <c r="J56" s="3"/>
      <c r="K56" s="3"/>
      <c r="L56" s="3"/>
      <c r="M56" s="3"/>
      <c r="N56" s="3"/>
    </row>
    <row r="57" spans="1:15" x14ac:dyDescent="0.3">
      <c r="A57" t="s">
        <v>184</v>
      </c>
      <c r="B57" s="3">
        <f>[2]Historicals!B82+SUM([2]Historicals!B78:B80)</f>
        <v>788</v>
      </c>
      <c r="C57" s="3">
        <f>[2]Historicals!C82</f>
        <v>6</v>
      </c>
      <c r="D57" s="3">
        <f>[2]Historicals!D82</f>
        <v>-34</v>
      </c>
      <c r="E57" s="3">
        <f>[2]Historicals!E82</f>
        <v>-22</v>
      </c>
      <c r="F57" s="3">
        <f>[2]Historicals!F82</f>
        <v>5</v>
      </c>
      <c r="G57" s="3">
        <f>[2]Historicals!G82</f>
        <v>31</v>
      </c>
      <c r="H57" s="3">
        <f>[2]Historicals!H82</f>
        <v>171</v>
      </c>
      <c r="I57" s="3">
        <f>[2]Historicals!I82</f>
        <v>-19</v>
      </c>
      <c r="J57" s="3"/>
      <c r="K57" s="3"/>
      <c r="L57" s="3"/>
      <c r="M57" s="3"/>
      <c r="N57" s="3"/>
    </row>
    <row r="58" spans="1:15" x14ac:dyDescent="0.3">
      <c r="A58" s="17" t="s">
        <v>185</v>
      </c>
      <c r="B58" s="16">
        <f>B57+B56</f>
        <v>-175</v>
      </c>
      <c r="C58" s="16">
        <f t="shared" ref="C58:I58" si="17">C57+C56</f>
        <v>-1137</v>
      </c>
      <c r="D58" s="16">
        <f t="shared" si="17"/>
        <v>-1126</v>
      </c>
      <c r="E58" s="16">
        <f t="shared" si="17"/>
        <v>-1050</v>
      </c>
      <c r="F58" s="16">
        <f t="shared" si="17"/>
        <v>-1114</v>
      </c>
      <c r="G58" s="16">
        <f t="shared" si="17"/>
        <v>-1055</v>
      </c>
      <c r="H58" s="16">
        <f t="shared" si="17"/>
        <v>-524</v>
      </c>
      <c r="I58" s="16">
        <f t="shared" si="17"/>
        <v>-777</v>
      </c>
      <c r="J58" s="16"/>
      <c r="K58" s="16"/>
      <c r="L58" s="16"/>
      <c r="M58" s="16"/>
      <c r="N58" s="16"/>
    </row>
    <row r="59" spans="1:15" x14ac:dyDescent="0.3">
      <c r="A59" t="s">
        <v>186</v>
      </c>
      <c r="B59" s="3">
        <f>[2]Historicals!B89+[2]Historicals!B88</f>
        <v>713</v>
      </c>
      <c r="C59" s="3">
        <f>[2]Historicals!C89+[2]Historicals!C88</f>
        <v>781</v>
      </c>
      <c r="D59" s="3">
        <f>[2]Historicals!D89+[2]Historicals!D88</f>
        <v>472</v>
      </c>
      <c r="E59" s="3">
        <f>[2]Historicals!E89+[2]Historicals!E88</f>
        <v>-3521</v>
      </c>
      <c r="F59" s="3">
        <f>[2]Historicals!F89+[2]Historicals!F88</f>
        <v>-3586</v>
      </c>
      <c r="G59" s="3">
        <f>[2]Historicals!G89+[2]Historicals!G88</f>
        <v>-2182</v>
      </c>
      <c r="H59" s="3">
        <f>[2]Historicals!H89+[2]Historicals!H88</f>
        <v>564</v>
      </c>
      <c r="I59" s="3">
        <f>[2]Historicals!I89+[2]Historicals!I88</f>
        <v>-2863</v>
      </c>
      <c r="J59" s="3"/>
      <c r="K59" s="3"/>
      <c r="L59" s="37"/>
      <c r="M59" s="3"/>
      <c r="N59" s="3"/>
    </row>
    <row r="60" spans="1:15" x14ac:dyDescent="0.3">
      <c r="A60" s="28" t="s">
        <v>129</v>
      </c>
      <c r="B60" s="76" t="s">
        <v>209</v>
      </c>
      <c r="C60" s="76">
        <f>(C59/B59)/B59*100</f>
        <v>0.15362856507772898</v>
      </c>
      <c r="D60" s="76">
        <f t="shared" ref="D60:I60" si="18">(D59/C59)/C59*100</f>
        <v>7.7381996553878049E-2</v>
      </c>
      <c r="E60" s="76">
        <f t="shared" si="18"/>
        <v>-1.5804546107440389</v>
      </c>
      <c r="F60" s="76">
        <f t="shared" si="18"/>
        <v>-2.8925324185854161E-2</v>
      </c>
      <c r="G60" s="76">
        <f t="shared" si="18"/>
        <v>-1.6968137539274786E-2</v>
      </c>
      <c r="H60" s="76">
        <f t="shared" si="18"/>
        <v>1.1845942260693064E-2</v>
      </c>
      <c r="I60" s="76">
        <f t="shared" si="18"/>
        <v>-0.90004275438861225</v>
      </c>
      <c r="J60" s="33"/>
      <c r="K60" s="33"/>
      <c r="L60" s="33"/>
      <c r="M60" s="34"/>
      <c r="N60" s="34"/>
    </row>
    <row r="61" spans="1:15" x14ac:dyDescent="0.3">
      <c r="A61" t="s">
        <v>187</v>
      </c>
      <c r="B61" s="3">
        <f>[2]Historicals!B90</f>
        <v>-2534</v>
      </c>
      <c r="C61" s="3">
        <f>[2]Historicals!C90</f>
        <v>-3238</v>
      </c>
      <c r="D61" s="3">
        <f>[2]Historicals!D90</f>
        <v>-3223</v>
      </c>
      <c r="E61" s="3">
        <f>[2]Historicals!E90</f>
        <v>-1243</v>
      </c>
      <c r="F61" s="3">
        <f>[2]Historicals!F90</f>
        <v>-1332</v>
      </c>
      <c r="G61" s="3">
        <f>[2]Historicals!G90</f>
        <v>-1452</v>
      </c>
      <c r="H61" s="3">
        <f>[2]Historicals!H90</f>
        <v>-1638</v>
      </c>
      <c r="I61" s="3">
        <f>[2]Historicals!I90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[2]Historicals!B87</f>
        <v>-63</v>
      </c>
      <c r="C62" s="3">
        <f>[2]Historicals!C87</f>
        <v>-67</v>
      </c>
      <c r="D62" s="3">
        <f>[2]Historicals!D87</f>
        <v>298</v>
      </c>
      <c r="E62" s="3">
        <f>[2]Historicals!E87</f>
        <v>0</v>
      </c>
      <c r="F62" s="3">
        <f>[2]Historicals!F87</f>
        <v>0</v>
      </c>
      <c r="G62" s="3">
        <f>[2]Historicals!G87</f>
        <v>0</v>
      </c>
      <c r="H62" s="3">
        <f>[2]Historicals!H87</f>
        <v>-197</v>
      </c>
      <c r="I62" s="3">
        <f>[2]Historicals!I87</f>
        <v>0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[2]Historicals!B86+[2]Historicals!B91</f>
        <v>-906</v>
      </c>
      <c r="C63" s="3">
        <f>[2]Historicals!C86+[2]Historicals!C91</f>
        <v>-1128</v>
      </c>
      <c r="D63" s="3">
        <f>[2]Historicals!D86+[2]Historicals!D91</f>
        <v>-1177</v>
      </c>
      <c r="E63" s="3">
        <f>[2]Historicals!E86+[2]Historicals!E91</f>
        <v>-71</v>
      </c>
      <c r="F63" s="3">
        <f>[2]Historicals!F86+[2]Historicals!F91</f>
        <v>-375</v>
      </c>
      <c r="G63" s="3">
        <f>[2]Historicals!G86+[2]Historicals!G91</f>
        <v>-9</v>
      </c>
      <c r="H63" s="3">
        <f>[2]Historicals!H86+[2]Historicals!H91</f>
        <v>-188</v>
      </c>
      <c r="I63" s="3">
        <f>[2]Historicals!I86+[2]Historicals!I91</f>
        <v>-136</v>
      </c>
      <c r="J63" s="3"/>
      <c r="K63" s="3"/>
      <c r="L63" s="3"/>
      <c r="M63" s="3"/>
      <c r="N63" s="3"/>
    </row>
    <row r="64" spans="1:15" x14ac:dyDescent="0.3">
      <c r="A64" s="17" t="s">
        <v>190</v>
      </c>
      <c r="B64" s="16">
        <f>B58-(SUM(B61:B63)+B59)</f>
        <v>2615</v>
      </c>
      <c r="C64" s="16">
        <f t="shared" ref="C64:I64" si="19">C58-(SUM(C61:C63)+C59)</f>
        <v>2515</v>
      </c>
      <c r="D64" s="16">
        <f t="shared" si="19"/>
        <v>2504</v>
      </c>
      <c r="E64" s="16">
        <f t="shared" si="19"/>
        <v>3785</v>
      </c>
      <c r="F64" s="16">
        <f t="shared" si="19"/>
        <v>4179</v>
      </c>
      <c r="G64" s="16">
        <f t="shared" si="19"/>
        <v>2588</v>
      </c>
      <c r="H64" s="16">
        <f t="shared" si="19"/>
        <v>935</v>
      </c>
      <c r="I64" s="16">
        <f t="shared" si="19"/>
        <v>4059</v>
      </c>
      <c r="J64" s="16"/>
      <c r="K64" s="16"/>
      <c r="L64" s="16"/>
      <c r="M64" s="16"/>
      <c r="N64" s="16"/>
    </row>
    <row r="65" spans="1:15" x14ac:dyDescent="0.3">
      <c r="A65" t="s">
        <v>191</v>
      </c>
      <c r="B65" s="3">
        <f>[2]Historicals!B93+[2]Historicals!B95</f>
        <v>2137</v>
      </c>
      <c r="C65" s="3">
        <f>[2]Historicals!C93+[2]Historicals!C95</f>
        <v>3747</v>
      </c>
      <c r="D65" s="3">
        <f>[2]Historicals!D93+[2]Historicals!D95</f>
        <v>3118</v>
      </c>
      <c r="E65" s="3">
        <f>[2]Historicals!E93+[2]Historicals!E95</f>
        <v>3853</v>
      </c>
      <c r="F65" s="3">
        <f>[2]Historicals!F93+[2]Historicals!F95</f>
        <v>4120</v>
      </c>
      <c r="G65" s="3">
        <f>[2]Historicals!G93+[2]Historicals!G95</f>
        <v>4400</v>
      </c>
      <c r="H65" s="3">
        <f>[2]Historicals!H93+[2]Historicals!H95</f>
        <v>8491</v>
      </c>
      <c r="I65" s="3">
        <f>[2]Historicals!I93+[2]Historicals!I95</f>
        <v>9746</v>
      </c>
      <c r="J65" s="3"/>
      <c r="K65" s="3"/>
      <c r="L65" s="3"/>
      <c r="M65" s="3"/>
      <c r="N65" s="3"/>
    </row>
    <row r="66" spans="1:15" x14ac:dyDescent="0.3">
      <c r="A66" s="17" t="s">
        <v>192</v>
      </c>
      <c r="B66" s="83">
        <f>B55+B58+B64</f>
        <v>9849</v>
      </c>
      <c r="C66" s="83">
        <f t="shared" ref="C66:I66" si="20">C55+C58+C64</f>
        <v>5780</v>
      </c>
      <c r="D66" s="83">
        <f t="shared" si="20"/>
        <v>6682</v>
      </c>
      <c r="E66" s="83">
        <f t="shared" si="20"/>
        <v>8053</v>
      </c>
      <c r="F66" s="83">
        <f t="shared" si="20"/>
        <v>9018</v>
      </c>
      <c r="G66" s="83">
        <f t="shared" si="20"/>
        <v>7680</v>
      </c>
      <c r="H66" s="83">
        <f t="shared" si="20"/>
        <v>8129</v>
      </c>
      <c r="I66" s="83">
        <f t="shared" si="20"/>
        <v>11538</v>
      </c>
      <c r="J66" s="16"/>
      <c r="K66" s="16"/>
      <c r="L66" s="16"/>
      <c r="M66" s="16"/>
      <c r="N66" s="16"/>
    </row>
    <row r="67" spans="1:15" x14ac:dyDescent="0.3">
      <c r="A67" t="s">
        <v>193</v>
      </c>
      <c r="B67" s="3">
        <f>[2]Historicals!B95</f>
        <v>2220</v>
      </c>
      <c r="C67" s="3">
        <f>[2]Historicals!C95</f>
        <v>3852</v>
      </c>
      <c r="D67" s="3">
        <f>[2]Historicals!D95</f>
        <v>3138</v>
      </c>
      <c r="E67" s="3">
        <f>[2]Historicals!E95</f>
        <v>3808</v>
      </c>
      <c r="F67" s="3">
        <f>[2]Historicals!F95</f>
        <v>4249</v>
      </c>
      <c r="G67" s="3">
        <f>[2]Historicals!G95</f>
        <v>4466</v>
      </c>
      <c r="H67" s="3">
        <f>[2]Historicals!H95</f>
        <v>8348</v>
      </c>
      <c r="I67" s="3">
        <f>[2]Historicals!I95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[2]Historicals!B96</f>
        <v>3852</v>
      </c>
      <c r="C68" s="7">
        <f>[2]Historicals!C96</f>
        <v>3138</v>
      </c>
      <c r="D68" s="7">
        <f>[2]Historicals!D96</f>
        <v>3808</v>
      </c>
      <c r="E68" s="7">
        <f>[2]Historicals!E96</f>
        <v>4249</v>
      </c>
      <c r="F68" s="7">
        <f>[2]Historicals!F96</f>
        <v>4466</v>
      </c>
      <c r="G68" s="7">
        <f>[2]Historicals!G96</f>
        <v>8348</v>
      </c>
      <c r="H68" s="7">
        <f>[2]Historicals!H96</f>
        <v>9889</v>
      </c>
      <c r="I68" s="7">
        <f>[2]Historicals!I96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38" t="s">
        <v>175</v>
      </c>
      <c r="B69" s="73">
        <f>([2]Historicals!B46+[2]Historicals!B45)-(B68+[2]Historicals!B25)</f>
        <v>-293</v>
      </c>
      <c r="C69" s="73">
        <f>([2]Historicals!C46+[2]Historicals!C45)-(C68+[2]Historicals!C25)</f>
        <v>1075</v>
      </c>
      <c r="D69" s="73">
        <f>([2]Historicals!D46+[2]Historicals!D45)-(D68+[2]Historicals!D25)</f>
        <v>1329</v>
      </c>
      <c r="E69" s="73">
        <f>([2]Historicals!E46+[2]Historicals!E45)-(E68+[2]Historicals!E25)</f>
        <v>1010</v>
      </c>
      <c r="F69" s="73">
        <f>([2]Historicals!F46+[2]Historicals!F45)-(F68+[2]Historicals!F25)</f>
        <v>2398</v>
      </c>
      <c r="G69" s="73">
        <f>([2]Historicals!G46+[2]Historicals!G45)-(G68+[2]Historicals!G25)</f>
        <v>994</v>
      </c>
      <c r="H69" s="73">
        <f>([2]Historicals!H46+[2]Historicals!H45)-(H68+[2]Historicals!H25)</f>
        <v>-691</v>
      </c>
      <c r="I69" s="73">
        <f>([2]Historicals!I46+[2]Historicals!I45)-(I68+[2]Historicals!I25)</f>
        <v>2502</v>
      </c>
      <c r="J69" s="21"/>
      <c r="K69" s="21"/>
      <c r="L69" s="21"/>
      <c r="M69" s="21"/>
      <c r="N69" s="21"/>
    </row>
    <row r="70" spans="1:15" x14ac:dyDescent="0.3">
      <c r="A70" s="1" t="s">
        <v>195</v>
      </c>
      <c r="B70" s="26">
        <f>B35+B36-(B21+B23)</f>
        <v>-2186</v>
      </c>
      <c r="C70" s="73">
        <f t="shared" ref="C70:I70" si="21">C35+C36-(C21+C23)</f>
        <v>-1720</v>
      </c>
      <c r="D70" s="73">
        <f t="shared" si="21"/>
        <v>-1878</v>
      </c>
      <c r="E70" s="73">
        <f t="shared" si="21"/>
        <v>-1563</v>
      </c>
      <c r="F70" s="73">
        <f t="shared" si="21"/>
        <v>-433</v>
      </c>
      <c r="G70" s="73">
        <f t="shared" si="21"/>
        <v>1223</v>
      </c>
      <c r="H70" s="73">
        <f t="shared" si="21"/>
        <v>715</v>
      </c>
      <c r="I70" s="73">
        <f t="shared" si="21"/>
        <v>837</v>
      </c>
      <c r="J70" s="73">
        <f t="shared" ref="C70:N70" si="22">J33+J36-(J21+J23)</f>
        <v>0</v>
      </c>
      <c r="K70" s="73">
        <f t="shared" si="22"/>
        <v>0</v>
      </c>
      <c r="L70" s="73">
        <f t="shared" si="22"/>
        <v>0</v>
      </c>
      <c r="M70" s="73">
        <f t="shared" si="22"/>
        <v>0</v>
      </c>
      <c r="N70" s="73">
        <f t="shared" si="22"/>
        <v>0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hardy ramsden</cp:lastModifiedBy>
  <dcterms:created xsi:type="dcterms:W3CDTF">2020-05-20T17:26:08Z</dcterms:created>
  <dcterms:modified xsi:type="dcterms:W3CDTF">2024-07-15T12:48:31Z</dcterms:modified>
</cp:coreProperties>
</file>