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Student\Downloads\Quill Capital Partners Coursework\"/>
    </mc:Choice>
  </mc:AlternateContent>
  <xr:revisionPtr revIDLastSave="0" documentId="13_ncr:1_{771CF22E-8848-4C5B-9E10-FCECC24D4F0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2" r:id="rId1"/>
    <sheet name="Schedules" sheetId="8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8" l="1"/>
  <c r="B28" i="8" s="1"/>
  <c r="B26" i="8"/>
  <c r="M4" i="8"/>
  <c r="N4" i="8" s="1"/>
  <c r="O4" i="8" s="1"/>
  <c r="P4" i="8" s="1"/>
  <c r="Q4" i="8" s="1"/>
  <c r="R4" i="8" s="1"/>
  <c r="S4" i="8" s="1"/>
  <c r="T4" i="8" s="1"/>
  <c r="U4" i="8" s="1"/>
  <c r="M5" i="8"/>
  <c r="N5" i="8" s="1"/>
  <c r="O5" i="8" s="1"/>
  <c r="P5" i="8" s="1"/>
  <c r="Q5" i="8" s="1"/>
  <c r="R5" i="8" s="1"/>
  <c r="S5" i="8" s="1"/>
  <c r="T5" i="8" s="1"/>
  <c r="U5" i="8" s="1"/>
  <c r="M6" i="8"/>
  <c r="N6" i="8" s="1"/>
  <c r="O6" i="8" s="1"/>
  <c r="P6" i="8" s="1"/>
  <c r="Q6" i="8" s="1"/>
  <c r="R6" i="8" s="1"/>
  <c r="S6" i="8" s="1"/>
  <c r="T6" i="8" s="1"/>
  <c r="U6" i="8" s="1"/>
  <c r="M7" i="8"/>
  <c r="N7" i="8" s="1"/>
  <c r="O7" i="8" s="1"/>
  <c r="P7" i="8" s="1"/>
  <c r="Q7" i="8" s="1"/>
  <c r="R7" i="8" s="1"/>
  <c r="S7" i="8" s="1"/>
  <c r="T7" i="8" s="1"/>
  <c r="U7" i="8" s="1"/>
  <c r="M8" i="8"/>
  <c r="N8" i="8" s="1"/>
  <c r="O8" i="8" s="1"/>
  <c r="P8" i="8" s="1"/>
  <c r="Q8" i="8" s="1"/>
  <c r="R8" i="8" s="1"/>
  <c r="S8" i="8" s="1"/>
  <c r="T8" i="8" s="1"/>
  <c r="U8" i="8" s="1"/>
  <c r="M9" i="8"/>
  <c r="N9" i="8" s="1"/>
  <c r="O9" i="8" s="1"/>
  <c r="P9" i="8" s="1"/>
  <c r="Q9" i="8" s="1"/>
  <c r="R9" i="8" s="1"/>
  <c r="S9" i="8" s="1"/>
  <c r="T9" i="8" s="1"/>
  <c r="U9" i="8" s="1"/>
  <c r="M10" i="8"/>
  <c r="N10" i="8"/>
  <c r="O10" i="8" s="1"/>
  <c r="P10" i="8" s="1"/>
  <c r="Q10" i="8" s="1"/>
  <c r="R10" i="8" s="1"/>
  <c r="S10" i="8" s="1"/>
  <c r="T10" i="8" s="1"/>
  <c r="U10" i="8" s="1"/>
  <c r="M11" i="8"/>
  <c r="N11" i="8" s="1"/>
  <c r="O11" i="8" s="1"/>
  <c r="P11" i="8" s="1"/>
  <c r="Q11" i="8" s="1"/>
  <c r="R11" i="8" s="1"/>
  <c r="S11" i="8" s="1"/>
  <c r="T11" i="8" s="1"/>
  <c r="U11" i="8" s="1"/>
  <c r="L5" i="8"/>
  <c r="L6" i="8"/>
  <c r="L7" i="8"/>
  <c r="L8" i="8"/>
  <c r="L9" i="8"/>
  <c r="L10" i="8"/>
  <c r="L11" i="8"/>
  <c r="L4" i="8"/>
  <c r="K4" i="8"/>
  <c r="K5" i="8"/>
  <c r="K6" i="8"/>
  <c r="K7" i="8"/>
  <c r="K8" i="8"/>
  <c r="K9" i="8"/>
  <c r="K10" i="8"/>
  <c r="K11" i="8"/>
  <c r="K12" i="8"/>
  <c r="K13" i="8"/>
  <c r="L3" i="8"/>
  <c r="N3" i="8" s="1"/>
  <c r="P3" i="8" s="1"/>
  <c r="R3" i="8" s="1"/>
  <c r="T3" i="8" s="1"/>
  <c r="M3" i="8"/>
  <c r="O3" i="8"/>
  <c r="Q3" i="8"/>
  <c r="S3" i="8"/>
  <c r="U3" i="8" s="1"/>
  <c r="K3" i="8"/>
  <c r="L15" i="8"/>
  <c r="M15" i="8"/>
  <c r="N15" i="8"/>
  <c r="O15" i="8"/>
  <c r="P15" i="8"/>
  <c r="Q15" i="8"/>
  <c r="R15" i="8"/>
  <c r="S15" i="8"/>
  <c r="T15" i="8"/>
  <c r="U15" i="8"/>
  <c r="K15" i="8"/>
  <c r="C17" i="8"/>
  <c r="D17" i="8"/>
  <c r="E17" i="8"/>
  <c r="F17" i="8"/>
  <c r="G17" i="8"/>
  <c r="H17" i="8"/>
  <c r="I17" i="8"/>
  <c r="B17" i="8"/>
  <c r="C19" i="8"/>
  <c r="D19" i="8"/>
  <c r="E19" i="8"/>
  <c r="F19" i="8"/>
  <c r="G19" i="8"/>
  <c r="H19" i="8"/>
  <c r="I19" i="8"/>
  <c r="B19" i="8"/>
  <c r="C23" i="8"/>
  <c r="D23" i="8"/>
  <c r="E23" i="8"/>
  <c r="F23" i="8"/>
  <c r="G23" i="8"/>
  <c r="H23" i="8"/>
  <c r="I23" i="8"/>
  <c r="B23" i="8"/>
  <c r="K16" i="8"/>
  <c r="K14" i="8"/>
  <c r="L16" i="8" s="1"/>
  <c r="M16" i="8"/>
  <c r="N16" i="8"/>
  <c r="O16" i="8"/>
  <c r="C16" i="8"/>
  <c r="D16" i="8"/>
  <c r="E16" i="8"/>
  <c r="F16" i="8"/>
  <c r="G16" i="8"/>
  <c r="H16" i="8"/>
  <c r="I16" i="8"/>
  <c r="B16" i="8"/>
  <c r="L22" i="8"/>
  <c r="M22" i="8"/>
  <c r="N22" i="8"/>
  <c r="O22" i="8"/>
  <c r="K22" i="8"/>
  <c r="C22" i="8"/>
  <c r="D22" i="8"/>
  <c r="E22" i="8"/>
  <c r="F22" i="8"/>
  <c r="G22" i="8"/>
  <c r="H22" i="8"/>
  <c r="I22" i="8"/>
  <c r="B22" i="8"/>
  <c r="B31" i="8"/>
  <c r="B30" i="8"/>
  <c r="B29" i="8"/>
  <c r="C14" i="8"/>
  <c r="D14" i="8"/>
  <c r="E14" i="8"/>
  <c r="F14" i="8"/>
  <c r="G14" i="8"/>
  <c r="H14" i="8"/>
  <c r="I14" i="8"/>
  <c r="L14" i="8"/>
  <c r="M14" i="8"/>
  <c r="N14" i="8"/>
  <c r="O14" i="8"/>
  <c r="P14" i="8"/>
  <c r="Q14" i="8"/>
  <c r="R14" i="8"/>
  <c r="S14" i="8"/>
  <c r="T14" i="8"/>
  <c r="U14" i="8"/>
  <c r="B14" i="8"/>
  <c r="C11" i="8"/>
  <c r="D11" i="8"/>
  <c r="E11" i="8"/>
  <c r="F11" i="8"/>
  <c r="G11" i="8"/>
  <c r="H11" i="8"/>
  <c r="I11" i="8"/>
  <c r="B11" i="8"/>
  <c r="B9" i="8"/>
  <c r="C10" i="8"/>
  <c r="D10" i="8"/>
  <c r="E10" i="8"/>
  <c r="F10" i="8"/>
  <c r="G10" i="8"/>
  <c r="H10" i="8"/>
  <c r="I10" i="8"/>
  <c r="B10" i="8"/>
  <c r="C9" i="8"/>
  <c r="D9" i="8"/>
  <c r="E9" i="8"/>
  <c r="F9" i="8"/>
  <c r="G9" i="8"/>
  <c r="H9" i="8"/>
  <c r="I9" i="8"/>
  <c r="C8" i="8"/>
  <c r="D8" i="8"/>
  <c r="E8" i="8"/>
  <c r="F8" i="8"/>
  <c r="G8" i="8"/>
  <c r="H8" i="8"/>
  <c r="I8" i="8"/>
  <c r="B8" i="8"/>
  <c r="C7" i="8"/>
  <c r="D7" i="8"/>
  <c r="E7" i="8"/>
  <c r="F7" i="8"/>
  <c r="G7" i="8"/>
  <c r="H7" i="8"/>
  <c r="I7" i="8"/>
  <c r="B7" i="8"/>
  <c r="C6" i="8"/>
  <c r="D6" i="8"/>
  <c r="E6" i="8"/>
  <c r="F6" i="8"/>
  <c r="G6" i="8"/>
  <c r="H6" i="8"/>
  <c r="I6" i="8"/>
  <c r="B6" i="8"/>
  <c r="C5" i="8"/>
  <c r="D5" i="8"/>
  <c r="E5" i="8"/>
  <c r="F5" i="8"/>
  <c r="G5" i="8"/>
  <c r="H5" i="8"/>
  <c r="I5" i="8"/>
  <c r="B5" i="8"/>
  <c r="C4" i="8"/>
  <c r="D4" i="8"/>
  <c r="E4" i="8"/>
  <c r="F4" i="8"/>
  <c r="G4" i="8"/>
  <c r="H4" i="8"/>
  <c r="I4" i="8"/>
  <c r="B4" i="8"/>
  <c r="H3" i="8" l="1"/>
  <c r="G3" i="8"/>
  <c r="F3" i="8"/>
  <c r="E3" i="8"/>
  <c r="D3" i="8"/>
  <c r="C3" i="8"/>
  <c r="I3" i="8"/>
  <c r="B3" i="8"/>
  <c r="C1" i="8"/>
  <c r="D1" i="8" s="1"/>
  <c r="E1" i="8" s="1"/>
  <c r="F1" i="8" s="1"/>
  <c r="G1" i="8" s="1"/>
  <c r="H1" i="8" s="1"/>
  <c r="I1" i="8" s="1"/>
  <c r="K1" i="8" s="1"/>
  <c r="L1" i="8" s="1"/>
  <c r="M1" i="8" s="1"/>
  <c r="N1" i="8" s="1"/>
  <c r="O1" i="8" s="1"/>
  <c r="P1" i="8" s="1"/>
  <c r="Q1" i="8" s="1"/>
  <c r="R1" i="8" s="1"/>
  <c r="S1" i="8" s="1"/>
  <c r="T1" i="8" s="1"/>
</calcChain>
</file>

<file path=xl/sharedStrings.xml><?xml version="1.0" encoding="utf-8"?>
<sst xmlns="http://schemas.openxmlformats.org/spreadsheetml/2006/main" count="48" uniqueCount="46">
  <si>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</si>
  <si>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</si>
  <si>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</si>
  <si>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</si>
  <si>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</si>
  <si>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</si>
  <si>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</si>
  <si>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</si>
  <si>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</si>
  <si>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</si>
  <si>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</si>
  <si>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</si>
  <si>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</si>
  <si>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</si>
  <si>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</si>
  <si>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</si>
  <si>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Equity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</si>
  <si>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</si>
  <si>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</si>
  <si>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</si>
  <si>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</si>
  <si>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</si>
  <si>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</si>
  <si>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</si>
  <si>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</si>
  <si>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</si>
  <si>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</si>
  <si>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</si>
  <si>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</si>
  <si>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</si>
  <si>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</si>
  <si>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</si>
  <si>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</si>
  <si>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</si>
  <si>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</si>
  <si>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</si>
  <si>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</si>
  <si>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</si>
  <si>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</si>
  <si>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</si>
  <si>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</si>
  <si>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</si>
  <si>
    <t>FCFF</t>
  </si>
  <si>
    <r>
      <t>S&amp;P 500 index 1 year return (Source from a financial website)</t>
    </r>
    <r>
      <rPr>
        <b/>
        <sz val="11"/>
        <color theme="1"/>
        <rFont val="Calibri"/>
        <family val="2"/>
        <scheme val="minor"/>
      </rPr>
      <t xml:space="preserve"> (28% 1 year return as of 16th Aug : S&amp;P Global)</t>
    </r>
  </si>
  <si>
    <t xml:space="preserve">Source from a financial website - Guru Focus.com </t>
  </si>
  <si>
    <t>Terminal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</si>
</sst>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£&quot;#,##0.00;[Red]\-&quot;£&quot;#,##0.00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0.0%"/>
    <numFmt numFmtId="170" formatCode="_(* #,##0.0000_);_(* \(#,##0.0000\);_(* &quot;-&quot;??_);_(@_)"/>
    <numFmt numFmtId="174" formatCode="0.000"/>
    <numFmt numFmtId="175" formatCode="0.0"/>
    <numFmt numFmtId="180" formatCode="_-* #,##0.0_-;\-* #,##0.0_-;_-* &quot;-&quot;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6" fillId="0" borderId="0" xfId="0" applyFont="1"/>
    <xf numFmtId="10" fontId="6" fillId="0" borderId="0" xfId="1" applyNumberFormat="1" applyFont="1" applyBorder="1" applyAlignment="1">
      <alignment horizontal="right"/>
    </xf>
    <xf numFmtId="10" fontId="6" fillId="0" borderId="0" xfId="2" applyNumberFormat="1" applyFont="1" applyBorder="1"/>
    <xf numFmtId="10" fontId="5" fillId="0" borderId="0" xfId="2" applyNumberFormat="1" applyFont="1" applyBorder="1" applyAlignment="1">
      <alignment horizontal="left"/>
    </xf>
    <xf numFmtId="165" fontId="0" fillId="0" borderId="0" xfId="1" applyFont="1"/>
    <xf numFmtId="0" fontId="8" fillId="0" borderId="0" xfId="0" applyFont="1" applyAlignment="1">
      <alignment horizontal="left" wrapText="1"/>
    </xf>
    <xf numFmtId="0" fontId="3" fillId="5" borderId="0" xfId="0" applyFont="1" applyFill="1" applyAlignment="1">
      <alignment horizontal="right" wrapText="1"/>
    </xf>
    <xf numFmtId="0" fontId="0" fillId="6" borderId="0" xfId="0" applyFill="1"/>
    <xf numFmtId="165" fontId="0" fillId="0" borderId="0" xfId="0" applyNumberFormat="1"/>
    <xf numFmtId="167" fontId="0" fillId="0" borderId="0" xfId="2" applyNumberFormat="1" applyFont="1"/>
    <xf numFmtId="0" fontId="6" fillId="4" borderId="0" xfId="0" applyFont="1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7" fontId="0" fillId="0" borderId="0" xfId="2" applyNumberFormat="1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9" fillId="0" borderId="0" xfId="7" applyAlignment="1">
      <alignment horizontal="left" indent="1"/>
    </xf>
    <xf numFmtId="0" fontId="9" fillId="0" borderId="0" xfId="7" applyAlignment="1">
      <alignment horizontal="left" wrapText="1"/>
    </xf>
    <xf numFmtId="170" fontId="0" fillId="0" borderId="0" xfId="1" applyNumberFormat="1" applyFont="1"/>
    <xf numFmtId="9" fontId="0" fillId="0" borderId="0" xfId="2" applyNumberFormat="1" applyFont="1"/>
    <xf numFmtId="2" fontId="0" fillId="0" borderId="0" xfId="0" applyNumberFormat="1"/>
    <xf numFmtId="175" fontId="0" fillId="0" borderId="0" xfId="0" applyNumberFormat="1"/>
    <xf numFmtId="8" fontId="0" fillId="0" borderId="2" xfId="0" applyNumberFormat="1" applyBorder="1"/>
    <xf numFmtId="174" fontId="0" fillId="0" borderId="6" xfId="0" applyNumberFormat="1" applyBorder="1"/>
    <xf numFmtId="9" fontId="0" fillId="0" borderId="0" xfId="2" applyFont="1" applyFill="1"/>
    <xf numFmtId="180" fontId="0" fillId="0" borderId="0" xfId="0" applyNumberFormat="1"/>
    <xf numFmtId="10" fontId="0" fillId="0" borderId="0" xfId="0" applyNumberFormat="1"/>
    <xf numFmtId="8" fontId="0" fillId="0" borderId="4" xfId="0" applyNumberFormat="1" applyBorder="1"/>
    <xf numFmtId="175" fontId="0" fillId="0" borderId="4" xfId="0" applyNumberFormat="1" applyBorder="1"/>
  </cellXfs>
  <cellStyles count="8">
    <cellStyle name="Comma" xfId="1" builtinId="3"/>
    <cellStyle name="Comma 2" xfId="4" xr:uid="{00000000-0005-0000-0000-000001000000}"/>
    <cellStyle name="Currency 2" xfId="5" xr:uid="{00000000-0005-0000-0000-000002000000}"/>
    <cellStyle name="Hyperlink" xfId="7" builtinId="8"/>
    <cellStyle name="Normal" xfId="0" builtinId="0"/>
    <cellStyle name="Normal 2" xfId="3" xr:uid="{00000000-0005-0000-0000-000005000000}"/>
    <cellStyle name="Per cent" xfId="2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dent\Downloads\Quill%20Capital%20Partners%20Coursework\71723466193017_Task%2014%20-%20Balancing%20the%20Three%20Statements.xlsx" TargetMode="External"/><Relationship Id="rId1" Type="http://schemas.openxmlformats.org/officeDocument/2006/relationships/externalLinkPath" Target="71723466193017_Task%2014%20-%20Balancing%20the%20Three%20Stat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  <sheetName val="Sheet2"/>
    </sheetNames>
    <sheetDataSet>
      <sheetData sheetId="0"/>
      <sheetData sheetId="1"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36">
          <cell r="B36">
            <v>21597</v>
          </cell>
          <cell r="C36">
            <v>21396</v>
          </cell>
          <cell r="D36">
            <v>23259</v>
          </cell>
          <cell r="E36">
            <v>22536</v>
          </cell>
          <cell r="F36">
            <v>23717</v>
          </cell>
          <cell r="G36">
            <v>31342</v>
          </cell>
          <cell r="H36">
            <v>37740</v>
          </cell>
          <cell r="I36">
            <v>40321</v>
          </cell>
        </row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</sheetData>
      <sheetData sheetId="2"/>
      <sheetData sheetId="3"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12">
          <cell r="B12">
            <v>932</v>
          </cell>
          <cell r="C12">
            <v>863</v>
          </cell>
          <cell r="D12">
            <v>646</v>
          </cell>
          <cell r="E12">
            <v>2392</v>
          </cell>
          <cell r="F12">
            <v>772</v>
          </cell>
          <cell r="G12">
            <v>348</v>
          </cell>
          <cell r="H12">
            <v>934</v>
          </cell>
          <cell r="I12">
            <v>605</v>
          </cell>
          <cell r="J12">
            <v>1131</v>
          </cell>
          <cell r="K12">
            <v>1297.5785961693364</v>
          </cell>
          <cell r="L12">
            <v>1506.6440029894657</v>
          </cell>
          <cell r="M12">
            <v>1775.3992610521614</v>
          </cell>
          <cell r="N12">
            <v>2131.2341998470156</v>
          </cell>
        </row>
        <row r="14">
          <cell r="B14">
            <v>3273</v>
          </cell>
          <cell r="C14">
            <v>3760</v>
          </cell>
          <cell r="D14">
            <v>4240</v>
          </cell>
          <cell r="E14">
            <v>1933</v>
          </cell>
          <cell r="F14">
            <v>4029</v>
          </cell>
          <cell r="G14">
            <v>2539</v>
          </cell>
          <cell r="H14">
            <v>5727</v>
          </cell>
          <cell r="I14">
            <v>6046</v>
          </cell>
        </row>
        <row r="15">
          <cell r="B15">
            <v>1768.8</v>
          </cell>
        </row>
        <row r="16">
          <cell r="B16">
            <v>1.8504070556309362</v>
          </cell>
          <cell r="C16">
            <v>2.1578192252510759</v>
          </cell>
          <cell r="D16">
            <v>2.5059101654846336</v>
          </cell>
          <cell r="E16">
            <v>1.1650895063588693</v>
          </cell>
          <cell r="F16">
            <v>2.4894957983193278</v>
          </cell>
          <cell r="G16">
            <v>1.5952500628298569</v>
          </cell>
          <cell r="H16">
            <v>3.5584689946563937</v>
          </cell>
          <cell r="I16">
            <v>3.7534144524459898</v>
          </cell>
        </row>
        <row r="21">
          <cell r="B21">
            <v>3852</v>
          </cell>
        </row>
        <row r="31">
          <cell r="B31">
            <v>21597</v>
          </cell>
          <cell r="C31">
            <v>21396</v>
          </cell>
          <cell r="D31">
            <v>23259</v>
          </cell>
          <cell r="E31">
            <v>22536</v>
          </cell>
          <cell r="F31">
            <v>23717</v>
          </cell>
          <cell r="G31">
            <v>31342</v>
          </cell>
          <cell r="H31">
            <v>37740</v>
          </cell>
          <cell r="I31">
            <v>40321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445</v>
          </cell>
          <cell r="H32">
            <v>467</v>
          </cell>
          <cell r="I32">
            <v>420</v>
          </cell>
          <cell r="J32">
            <v>440.48228479051596</v>
          </cell>
          <cell r="K32">
            <v>461.96343622446005</v>
          </cell>
          <cell r="L32">
            <v>484.49216637578093</v>
          </cell>
          <cell r="M32">
            <v>508.11956287693044</v>
          </cell>
        </row>
        <row r="35">
          <cell r="B35">
            <v>6151</v>
          </cell>
          <cell r="C35">
            <v>5313</v>
          </cell>
          <cell r="D35">
            <v>5143</v>
          </cell>
          <cell r="E35">
            <v>5698</v>
          </cell>
          <cell r="F35">
            <v>7851</v>
          </cell>
          <cell r="G35">
            <v>8033</v>
          </cell>
          <cell r="H35">
            <v>9672</v>
          </cell>
          <cell r="I35">
            <v>10220</v>
          </cell>
          <cell r="J35">
            <v>10718.402263235888</v>
          </cell>
          <cell r="K35">
            <v>11241.110281461861</v>
          </cell>
          <cell r="L35">
            <v>11789.309381810668</v>
          </cell>
          <cell r="M35">
            <v>12364.242696671972</v>
          </cell>
          <cell r="N35">
            <v>12967.21398270124</v>
          </cell>
        </row>
        <row r="36">
          <cell r="B36">
            <v>1079</v>
          </cell>
          <cell r="C36">
            <v>2010</v>
          </cell>
          <cell r="D36">
            <v>3471</v>
          </cell>
          <cell r="E36">
            <v>3468</v>
          </cell>
          <cell r="F36">
            <v>3464</v>
          </cell>
          <cell r="G36">
            <v>9406</v>
          </cell>
          <cell r="H36">
            <v>9413</v>
          </cell>
          <cell r="I36">
            <v>8920</v>
          </cell>
          <cell r="J36">
            <v>9355.0047150747687</v>
          </cell>
          <cell r="K36">
            <v>9811.2234550528192</v>
          </cell>
          <cell r="L36">
            <v>10289.690771599919</v>
          </cell>
          <cell r="M36">
            <v>10791.491668719571</v>
          </cell>
          <cell r="N36">
            <v>11317.764063179558</v>
          </cell>
        </row>
        <row r="39">
          <cell r="B39">
            <v>6773</v>
          </cell>
          <cell r="C39">
            <v>7786</v>
          </cell>
          <cell r="D39">
            <v>5710</v>
          </cell>
          <cell r="E39">
            <v>6384</v>
          </cell>
          <cell r="F39">
            <v>7163</v>
          </cell>
          <cell r="G39">
            <v>8299</v>
          </cell>
          <cell r="H39">
            <v>9965</v>
          </cell>
          <cell r="I39">
            <v>11484</v>
          </cell>
        </row>
        <row r="42">
          <cell r="B42">
            <v>1246</v>
          </cell>
        </row>
        <row r="43">
          <cell r="B43">
            <v>21597</v>
          </cell>
          <cell r="C43">
            <v>21396</v>
          </cell>
          <cell r="D43">
            <v>23259</v>
          </cell>
          <cell r="E43">
            <v>22536</v>
          </cell>
          <cell r="F43">
            <v>23717</v>
          </cell>
          <cell r="G43">
            <v>31342</v>
          </cell>
          <cell r="H43">
            <v>37740</v>
          </cell>
          <cell r="I43">
            <v>40321</v>
          </cell>
        </row>
        <row r="53">
          <cell r="B53">
            <v>2511</v>
          </cell>
          <cell r="C53">
            <v>5162</v>
          </cell>
          <cell r="D53">
            <v>4946</v>
          </cell>
          <cell r="E53">
            <v>2256</v>
          </cell>
          <cell r="F53">
            <v>3124</v>
          </cell>
          <cell r="G53">
            <v>2809</v>
          </cell>
          <cell r="H53">
            <v>5636</v>
          </cell>
          <cell r="I53">
            <v>7114</v>
          </cell>
          <cell r="J53">
            <v>4339</v>
          </cell>
          <cell r="K53">
            <v>4576.5238552397959</v>
          </cell>
          <cell r="L53">
            <v>4826.0697686487965</v>
          </cell>
          <cell r="M53">
            <v>5088.2314467978349</v>
          </cell>
          <cell r="N53">
            <v>5363.6316753558167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7" sqref="A7"/>
    </sheetView>
  </sheetViews>
  <sheetFormatPr defaultColWidth="9.109375" defaultRowHeight="14.4"/>
  <cols>
    <col min="1" max="1" width="176.109375" style="4" customWidth="1"/>
  </cols>
  <sheetData>
    <row r="1" spans="1:1" ht="23.4">
      <c r="A1" s="3" t="s">
        <v>0</v>
      </c>
    </row>
    <row r="2" spans="1:1">
      <c r="A2" s="15" t="s">
        <v>35</v>
      </c>
    </row>
    <row r="3" spans="1:1">
      <c r="A3" s="5"/>
    </row>
    <row r="4" spans="1:1" ht="23.4">
      <c r="A4" s="3" t="s">
        <v>1</v>
      </c>
    </row>
    <row r="5" spans="1:1">
      <c r="A5" s="6" t="s">
        <v>30</v>
      </c>
    </row>
    <row r="6" spans="1:1">
      <c r="A6" s="6" t="s">
        <v>39</v>
      </c>
    </row>
    <row r="7" spans="1:1">
      <c r="A7" s="29" t="s">
        <v>40</v>
      </c>
    </row>
    <row r="8" spans="1:1">
      <c r="A8" s="6" t="s">
        <v>38</v>
      </c>
    </row>
    <row r="9" spans="1:1">
      <c r="A9" s="4" t="s">
        <v>29</v>
      </c>
    </row>
    <row r="10" spans="1:1">
      <c r="A10" s="5"/>
    </row>
    <row r="11" spans="1:1">
      <c r="A11" s="5"/>
    </row>
    <row r="12" spans="1:1">
      <c r="A12" s="5"/>
    </row>
  </sheetData>
  <hyperlinks>
    <hyperlink ref="A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"/>
  <sheetViews>
    <sheetView tabSelected="1" workbookViewId="0">
      <pane ySplit="1" topLeftCell="A2" activePane="bottomLeft" state="frozen"/>
      <selection pane="bottomLeft" activeCell="J7" sqref="J7"/>
    </sheetView>
  </sheetViews>
  <sheetFormatPr defaultRowHeight="14.4"/>
  <cols>
    <col min="1" max="1" width="42.6640625" customWidth="1"/>
    <col min="2" max="2" width="18.33203125" bestFit="1" customWidth="1"/>
    <col min="3" max="8" width="10.5546875" customWidth="1"/>
    <col min="9" max="9" width="12.109375" customWidth="1"/>
    <col min="10" max="10" width="101" bestFit="1" customWidth="1"/>
    <col min="11" max="11" width="11.5546875" bestFit="1" customWidth="1"/>
    <col min="12" max="12" width="11.109375" bestFit="1" customWidth="1"/>
    <col min="13" max="15" width="10.5546875" bestFit="1" customWidth="1"/>
    <col min="21" max="21" width="8.33203125" bestFit="1" customWidth="1"/>
  </cols>
  <sheetData>
    <row r="1" spans="1:21" ht="60" customHeight="1">
      <c r="A1" s="26" t="s">
        <v>37</v>
      </c>
      <c r="B1" s="7">
        <v>2015</v>
      </c>
      <c r="C1" s="7">
        <f t="shared" ref="C1:T1" si="0">+B1+1</f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f t="shared" si="0"/>
        <v>2022</v>
      </c>
      <c r="J1" s="27" t="s">
        <v>1</v>
      </c>
      <c r="K1" s="9">
        <f>+I1+1</f>
        <v>2023</v>
      </c>
      <c r="L1" s="9">
        <f t="shared" si="0"/>
        <v>2024</v>
      </c>
      <c r="M1" s="9">
        <f t="shared" si="0"/>
        <v>2025</v>
      </c>
      <c r="N1" s="9">
        <f t="shared" si="0"/>
        <v>2026</v>
      </c>
      <c r="O1" s="9">
        <f t="shared" si="0"/>
        <v>2027</v>
      </c>
      <c r="P1" s="9">
        <f t="shared" si="0"/>
        <v>2028</v>
      </c>
      <c r="Q1" s="9">
        <f t="shared" si="0"/>
        <v>2029</v>
      </c>
      <c r="R1" s="9">
        <f t="shared" si="0"/>
        <v>2030</v>
      </c>
      <c r="S1" s="9">
        <f t="shared" si="0"/>
        <v>2031</v>
      </c>
      <c r="T1" s="9">
        <f t="shared" si="0"/>
        <v>2032</v>
      </c>
      <c r="U1" s="16" t="s">
        <v>2</v>
      </c>
    </row>
    <row r="2" spans="1:21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7"/>
      <c r="Q2" s="17"/>
      <c r="R2" s="17"/>
      <c r="S2" s="17"/>
      <c r="T2" s="17"/>
      <c r="U2" s="17"/>
    </row>
    <row r="3" spans="1:21">
      <c r="A3" t="s">
        <v>4</v>
      </c>
      <c r="B3" s="18">
        <f>(46.13+48.7+45.28+44.6+45.88+48.88+52.14+50.57+55.64+59.44+60.01+56.71)/12</f>
        <v>51.164999999999999</v>
      </c>
      <c r="C3" s="18">
        <f>(62.01+61.59+61.47+58.94+55.22+55.2+55.5+57.64+52.65+50.18+5.07+50.83)/12</f>
        <v>52.19166666666667</v>
      </c>
      <c r="D3" s="18">
        <f>(52.9+57.16+55.73+55.41+52.99+59+59.05+52.81+51.85+54.99+60.42+62.55)/12</f>
        <v>56.238333333333323</v>
      </c>
      <c r="E3" s="18">
        <f>(68.22+67.03+66.44+68.339+71.8+79.68+76.91+82.2+84.72+75.04+75.12+74.14)/12</f>
        <v>74.136583333333334</v>
      </c>
      <c r="F3" s="18">
        <f>(81.88+85.73+84.21+87.83+77.14+83.95+86.03+84.5+93.92+89.55+93.49+101.31)/12</f>
        <v>87.461666666666659</v>
      </c>
      <c r="G3" s="18">
        <f>(96.3+89.38+82.74+87.18+95.58+98.05+97.61+111.89+125.54+120.08+134.7+141.47)/12</f>
        <v>106.71</v>
      </c>
      <c r="H3" s="18">
        <f>(134.78+132.89+132.62+136.46+154.49+167.51+167.74+145.23+167.29+169.24+166.67)/12</f>
        <v>139.57666666666668</v>
      </c>
      <c r="I3" s="18">
        <f>(117.01+109.69+92.68+83.12+106.45+114.92+102.2+118.85+124.7+134.56+124.7+134.56+136.55+148.07)/12</f>
        <v>137.33833333333334</v>
      </c>
      <c r="K3" s="18">
        <f>I3*(1+$K$16)</f>
        <v>225.17282860874241</v>
      </c>
      <c r="L3" s="18">
        <f>K3*(1+$K$16)</f>
        <v>369.18172452698627</v>
      </c>
      <c r="M3" s="18">
        <f t="shared" ref="L3:U11" si="1">K3*(1+$K$16)</f>
        <v>369.18172452698627</v>
      </c>
      <c r="N3" s="18">
        <f t="shared" si="1"/>
        <v>605.29126256855966</v>
      </c>
      <c r="O3" s="18">
        <f t="shared" si="1"/>
        <v>605.29126256855966</v>
      </c>
      <c r="P3" s="18">
        <f t="shared" si="1"/>
        <v>992.40425026797266</v>
      </c>
      <c r="Q3" s="18">
        <f t="shared" si="1"/>
        <v>992.40425026797266</v>
      </c>
      <c r="R3" s="18">
        <f t="shared" si="1"/>
        <v>1627.0946845831659</v>
      </c>
      <c r="S3" s="18">
        <f t="shared" si="1"/>
        <v>1627.0946845831659</v>
      </c>
      <c r="T3" s="18">
        <f t="shared" si="1"/>
        <v>2667.7002964103804</v>
      </c>
      <c r="U3" s="18">
        <f t="shared" si="1"/>
        <v>2667.7002964103804</v>
      </c>
    </row>
    <row r="4" spans="1:21">
      <c r="A4" t="s">
        <v>5</v>
      </c>
      <c r="B4" s="2">
        <f>'[1]Three Statements'!B$43+[1]Historicals!B$45+[1]Historicals!B$46-[1]Historicals!B$25</f>
        <v>25156</v>
      </c>
      <c r="C4" s="2">
        <f>'[1]Three Statements'!C$43+[1]Historicals!C$45+[1]Historicals!C$46-[1]Historicals!C$25</f>
        <v>25626</v>
      </c>
      <c r="D4" s="2">
        <f>'[1]Three Statements'!D$43+[1]Historicals!D$45+[1]Historicals!D$46-[1]Historicals!D$25</f>
        <v>28396</v>
      </c>
      <c r="E4" s="2">
        <f>'[1]Three Statements'!E$43+[1]Historicals!E$45+[1]Historicals!E$46-[1]Historicals!E$25</f>
        <v>27795</v>
      </c>
      <c r="F4" s="2">
        <f>'[1]Three Statements'!F$43+[1]Historicals!F$45+[1]Historicals!F$46-[1]Historicals!F$25</f>
        <v>30581</v>
      </c>
      <c r="G4" s="2">
        <f>'[1]Three Statements'!G$43+[1]Historicals!G$45+[1]Historicals!G$46-[1]Historicals!G$25</f>
        <v>40684</v>
      </c>
      <c r="H4" s="2">
        <f>'[1]Three Statements'!H$43+[1]Historicals!H$45+[1]Historicals!H$46-[1]Historicals!H$25</f>
        <v>46938</v>
      </c>
      <c r="I4" s="2">
        <f>'[1]Three Statements'!I$43+[1]Historicals!I$45+[1]Historicals!I$46-[1]Historicals!I$25</f>
        <v>51397</v>
      </c>
      <c r="K4" s="18">
        <f t="shared" ref="K4:K13" si="2">I4*(1+$K$16)</f>
        <v>84267.863102097253</v>
      </c>
      <c r="L4" s="18">
        <f>K4*(1+$K$16)</f>
        <v>138161.23026234613</v>
      </c>
      <c r="M4" s="18">
        <f t="shared" ref="M4:U4" si="3">L4*(1+$K$16)</f>
        <v>226522.00785580324</v>
      </c>
      <c r="N4" s="18">
        <f t="shared" si="3"/>
        <v>371393.76904498367</v>
      </c>
      <c r="O4" s="18">
        <f t="shared" si="3"/>
        <v>608918.01635999396</v>
      </c>
      <c r="P4" s="18">
        <f t="shared" si="3"/>
        <v>998350.4882196351</v>
      </c>
      <c r="Q4" s="18">
        <f t="shared" si="3"/>
        <v>1636843.8288072099</v>
      </c>
      <c r="R4" s="18">
        <f t="shared" si="3"/>
        <v>2683684.489083773</v>
      </c>
      <c r="S4" s="18">
        <f t="shared" si="3"/>
        <v>4400030.2962299976</v>
      </c>
      <c r="T4" s="18">
        <f t="shared" si="3"/>
        <v>7214062.1173957596</v>
      </c>
      <c r="U4" s="18">
        <f t="shared" si="3"/>
        <v>11827803.158136306</v>
      </c>
    </row>
    <row r="5" spans="1:21">
      <c r="A5" t="s">
        <v>6</v>
      </c>
      <c r="B5" s="14">
        <f>B3/'[1]Three Statements'!B$16</f>
        <v>27.650672777268561</v>
      </c>
      <c r="C5" s="14">
        <f>C3/'[1]Three Statements'!C$16</f>
        <v>24.187228501773053</v>
      </c>
      <c r="D5" s="14">
        <f>D3/'[1]Three Statements'!D$16</f>
        <v>22.442278301886788</v>
      </c>
      <c r="E5" s="14">
        <f>E3/'[1]Three Statements'!E$16</f>
        <v>63.631663429039484</v>
      </c>
      <c r="F5" s="14">
        <f>F3/'[1]Three Statements'!F$16</f>
        <v>35.132281293952175</v>
      </c>
      <c r="G5" s="14">
        <f>G3/'[1]Three Statements'!G$16</f>
        <v>66.892333989759734</v>
      </c>
      <c r="H5" s="14">
        <f>H3/'[1]Three Statements'!H$16</f>
        <v>39.223797334264596</v>
      </c>
      <c r="I5" s="14">
        <f>I3/'[1]Three Statements'!I$16</f>
        <v>36.590239386922484</v>
      </c>
      <c r="K5" s="18">
        <f t="shared" si="2"/>
        <v>59.991464161918998</v>
      </c>
      <c r="L5" s="18">
        <f t="shared" ref="L5:U11" si="4">K5*(1+$K$16)</f>
        <v>98.358902062201366</v>
      </c>
      <c r="M5" s="18">
        <f t="shared" si="4"/>
        <v>161.26416899527553</v>
      </c>
      <c r="N5" s="18">
        <f t="shared" si="4"/>
        <v>264.40039138796726</v>
      </c>
      <c r="O5" s="18">
        <f t="shared" si="4"/>
        <v>433.49720772850861</v>
      </c>
      <c r="P5" s="18">
        <f t="shared" si="4"/>
        <v>710.73960262286471</v>
      </c>
      <c r="Q5" s="18">
        <f t="shared" si="4"/>
        <v>1165.2918951507397</v>
      </c>
      <c r="R5" s="18">
        <f t="shared" si="4"/>
        <v>1910.5523259051306</v>
      </c>
      <c r="S5" s="18">
        <f t="shared" si="4"/>
        <v>3132.4427855471536</v>
      </c>
      <c r="T5" s="18">
        <f t="shared" si="4"/>
        <v>5135.7911906850541</v>
      </c>
      <c r="U5" s="18">
        <f t="shared" si="4"/>
        <v>8420.3776286087741</v>
      </c>
    </row>
    <row r="6" spans="1:21">
      <c r="A6" t="s">
        <v>7</v>
      </c>
      <c r="B6" s="30">
        <f>B3/([1]Historicals!B$36-[1]Historicals!B$25+[1]Historicals!B$45+[1]Historicals!B$46)</f>
        <v>2.0339084115121643E-3</v>
      </c>
      <c r="C6" s="30">
        <f>C3/([1]Historicals!C$36-[1]Historicals!C$25+[1]Historicals!C$45+[1]Historicals!C$46)</f>
        <v>2.0366684877338123E-3</v>
      </c>
      <c r="D6" s="30">
        <f>D3/([1]Historicals!D$36-[1]Historicals!D$25+[1]Historicals!D$45+[1]Historicals!D$46)</f>
        <v>1.980501948631262E-3</v>
      </c>
      <c r="E6" s="30">
        <f>E3/([1]Historicals!E$36-[1]Historicals!E$25+[1]Historicals!E$45+[1]Historicals!E$46)</f>
        <v>2.6672632967560113E-3</v>
      </c>
      <c r="F6" s="30">
        <f>F3/([1]Historicals!F$36-[1]Historicals!F$25+[1]Historicals!F$45+[1]Historicals!F$46)</f>
        <v>2.8600002180002833E-3</v>
      </c>
      <c r="G6" s="30">
        <f>G3/([1]Historicals!G$36-[1]Historicals!G$25+[1]Historicals!G$45+[1]Historicals!G$46)</f>
        <v>2.6228984367318844E-3</v>
      </c>
      <c r="H6" s="30">
        <f>H3/([1]Historicals!H$36-[1]Historicals!H$25+[1]Historicals!H$45+[1]Historicals!H$46)</f>
        <v>2.9736389847600385E-3</v>
      </c>
      <c r="I6" s="30">
        <f>I3/([1]Historicals!I$36-[1]Historicals!I$25+[1]Historicals!I$45+[1]Historicals!I$46)</f>
        <v>2.6721079699852783E-3</v>
      </c>
      <c r="K6" s="18">
        <f t="shared" si="2"/>
        <v>4.3810500342187754E-3</v>
      </c>
      <c r="L6" s="18">
        <f t="shared" si="4"/>
        <v>7.1829430614040943E-3</v>
      </c>
      <c r="M6" s="18">
        <f t="shared" si="4"/>
        <v>1.1776781963316139E-2</v>
      </c>
      <c r="N6" s="18">
        <f t="shared" si="4"/>
        <v>1.9308602647391336E-2</v>
      </c>
      <c r="O6" s="18">
        <f t="shared" si="4"/>
        <v>3.1657386317940066E-2</v>
      </c>
      <c r="P6" s="18">
        <f t="shared" si="4"/>
        <v>5.1903813382305972E-2</v>
      </c>
      <c r="Q6" s="18">
        <f t="shared" si="4"/>
        <v>8.5098808112865784E-2</v>
      </c>
      <c r="R6" s="18">
        <f t="shared" si="4"/>
        <v>0.13952360472803116</v>
      </c>
      <c r="S6" s="18">
        <f t="shared" si="4"/>
        <v>0.22875568657183998</v>
      </c>
      <c r="T6" s="18">
        <f t="shared" si="4"/>
        <v>0.37505599314866778</v>
      </c>
      <c r="U6" s="18">
        <f t="shared" si="4"/>
        <v>0.61492240960120359</v>
      </c>
    </row>
    <row r="7" spans="1:21">
      <c r="A7" t="s">
        <v>8</v>
      </c>
      <c r="B7" s="14">
        <f>B4/'[1]Three Statements'!B$5</f>
        <v>5.1985947509816075</v>
      </c>
      <c r="C7" s="14">
        <f>C4/'[1]Three Statements'!C$5</f>
        <v>4.8433188433188432</v>
      </c>
      <c r="D7" s="14">
        <f>D4/'[1]Three Statements'!D$5</f>
        <v>5.0249513360467173</v>
      </c>
      <c r="E7" s="14">
        <f>E4/'[1]Three Statements'!E$5</f>
        <v>5.4223566133437382</v>
      </c>
      <c r="F7" s="14">
        <f>F4/'[1]Three Statements'!F$5</f>
        <v>5.5051305130513049</v>
      </c>
      <c r="G7" s="14">
        <f>G4/'[1]Three Statements'!G$5</f>
        <v>11.004598322964567</v>
      </c>
      <c r="H7" s="14">
        <f>H4/'[1]Three Statements'!H$5</f>
        <v>6.1220816486239729</v>
      </c>
      <c r="I7" s="14">
        <f>I4/'[1]Three Statements'!I$5</f>
        <v>6.7868744222897135</v>
      </c>
      <c r="K7" s="18">
        <f t="shared" si="2"/>
        <v>11.127408306100257</v>
      </c>
      <c r="L7" s="18">
        <f t="shared" si="4"/>
        <v>18.24392318266818</v>
      </c>
      <c r="M7" s="18">
        <f t="shared" si="4"/>
        <v>29.911792929592401</v>
      </c>
      <c r="N7" s="18">
        <f t="shared" si="4"/>
        <v>49.041828739599062</v>
      </c>
      <c r="O7" s="18">
        <f t="shared" si="4"/>
        <v>80.40644610590175</v>
      </c>
      <c r="P7" s="18">
        <f t="shared" si="4"/>
        <v>131.8302506562307</v>
      </c>
      <c r="Q7" s="18">
        <f t="shared" si="4"/>
        <v>216.14206111279677</v>
      </c>
      <c r="R7" s="18">
        <f t="shared" si="4"/>
        <v>354.37534518470528</v>
      </c>
      <c r="S7" s="18">
        <f t="shared" si="4"/>
        <v>581.01548874026116</v>
      </c>
      <c r="T7" s="18">
        <f t="shared" si="4"/>
        <v>952.60294696893698</v>
      </c>
      <c r="U7" s="18">
        <f t="shared" si="4"/>
        <v>1561.8385260974919</v>
      </c>
    </row>
    <row r="8" spans="1:21">
      <c r="A8" t="s">
        <v>9</v>
      </c>
      <c r="B8" s="14">
        <f>B4/'[1]Three Statements'!B$53</f>
        <v>10.018319394663481</v>
      </c>
      <c r="C8" s="14">
        <f>C4/'[1]Three Statements'!C$53</f>
        <v>4.9643549012010846</v>
      </c>
      <c r="D8" s="14">
        <f>D4/'[1]Three Statements'!D$53</f>
        <v>5.7412050141528512</v>
      </c>
      <c r="E8" s="14">
        <f>E4/'[1]Three Statements'!E$53</f>
        <v>12.320478723404255</v>
      </c>
      <c r="F8" s="14">
        <f>F4/'[1]Three Statements'!F$53</f>
        <v>9.7890524967989752</v>
      </c>
      <c r="G8" s="14">
        <f>G4/'[1]Three Statements'!G$53</f>
        <v>14.483446066215736</v>
      </c>
      <c r="H8" s="14">
        <f>H4/'[1]Three Statements'!H$53</f>
        <v>8.3282469836763671</v>
      </c>
      <c r="I8" s="14">
        <f>I4/'[1]Three Statements'!I$53</f>
        <v>7.2247680629744169</v>
      </c>
      <c r="K8" s="18">
        <f t="shared" si="2"/>
        <v>11.84535607282784</v>
      </c>
      <c r="L8" s="18">
        <f t="shared" si="4"/>
        <v>19.421033210900497</v>
      </c>
      <c r="M8" s="18">
        <f t="shared" si="4"/>
        <v>31.841721655299867</v>
      </c>
      <c r="N8" s="18">
        <f t="shared" si="4"/>
        <v>52.206040068173138</v>
      </c>
      <c r="O8" s="18">
        <f t="shared" si="4"/>
        <v>85.594323356760469</v>
      </c>
      <c r="P8" s="18">
        <f t="shared" si="4"/>
        <v>140.33602589536619</v>
      </c>
      <c r="Q8" s="18">
        <f t="shared" si="4"/>
        <v>230.08769030182876</v>
      </c>
      <c r="R8" s="18">
        <f t="shared" si="4"/>
        <v>377.23987757713985</v>
      </c>
      <c r="S8" s="18">
        <f t="shared" si="4"/>
        <v>618.50299356620712</v>
      </c>
      <c r="T8" s="18">
        <f t="shared" si="4"/>
        <v>1014.0655211408152</v>
      </c>
      <c r="U8" s="18">
        <f t="shared" si="4"/>
        <v>1662.6093840506473</v>
      </c>
    </row>
    <row r="9" spans="1:21">
      <c r="A9" t="s">
        <v>10</v>
      </c>
      <c r="B9" s="19">
        <f>SUM('[1]Three Statements'!B$35:B$36)/'[1]Three Statements'!$B$39</f>
        <v>1.067473793001624</v>
      </c>
      <c r="C9" s="19">
        <f>SUM('[1]Three Statements'!C$35:C$36)/'[1]Three Statements'!$B$39</f>
        <v>1.0812047836999852</v>
      </c>
      <c r="D9" s="19">
        <f>SUM('[1]Three Statements'!D$35:D$36)/'[1]Three Statements'!$B$39</f>
        <v>1.2718145578030415</v>
      </c>
      <c r="E9" s="19">
        <f>SUM('[1]Three Statements'!E$35:E$36)/'[1]Three Statements'!$B$39</f>
        <v>1.3533146316255722</v>
      </c>
      <c r="F9" s="19">
        <f>SUM('[1]Three Statements'!F$35:F$36)/'[1]Three Statements'!$B$39</f>
        <v>1.6706038683006053</v>
      </c>
      <c r="G9" s="19">
        <f>SUM('[1]Three Statements'!G$35:G$36)/'[1]Three Statements'!$B$39</f>
        <v>2.5747822235346227</v>
      </c>
      <c r="H9" s="19">
        <f>SUM('[1]Three Statements'!H$35:H$36)/'[1]Three Statements'!$B$39</f>
        <v>2.8178059943894875</v>
      </c>
      <c r="I9" s="19">
        <f>SUM('[1]Three Statements'!I$35:I$36)/'[1]Three Statements'!$B$39</f>
        <v>2.8259264727594862</v>
      </c>
      <c r="K9" s="18">
        <f t="shared" si="2"/>
        <v>4.6332428963380927</v>
      </c>
      <c r="L9" s="18">
        <f t="shared" si="4"/>
        <v>7.5964254354803389</v>
      </c>
      <c r="M9" s="18">
        <f t="shared" si="4"/>
        <v>12.454706279789612</v>
      </c>
      <c r="N9" s="18">
        <f t="shared" si="4"/>
        <v>20.420092296479211</v>
      </c>
      <c r="O9" s="18">
        <f t="shared" si="4"/>
        <v>33.479727263690506</v>
      </c>
      <c r="P9" s="18">
        <f t="shared" si="4"/>
        <v>54.891629350978164</v>
      </c>
      <c r="Q9" s="18">
        <f t="shared" si="4"/>
        <v>89.99747665426564</v>
      </c>
      <c r="R9" s="18">
        <f t="shared" si="4"/>
        <v>147.55520832414052</v>
      </c>
      <c r="S9" s="18">
        <f t="shared" si="4"/>
        <v>241.92388845769432</v>
      </c>
      <c r="T9" s="18">
        <f t="shared" si="4"/>
        <v>396.6458959410088</v>
      </c>
      <c r="U9" s="18">
        <f t="shared" si="4"/>
        <v>650.32009765483667</v>
      </c>
    </row>
    <row r="10" spans="1:21">
      <c r="A10" t="s">
        <v>11</v>
      </c>
      <c r="B10" s="31">
        <f>SUM('[1]Three Statements'!B$32+'[1]Three Statements'!B$35+'[1]Three Statements'!B$36 )/('[1]Three Statements'!B$35+'[1]Three Statements'!B$36+'[1]Three Statements'!B$39)</f>
        <v>0.5163179318717418</v>
      </c>
      <c r="C10" s="31">
        <f>SUM('[1]Three Statements'!C$32+'[1]Three Statements'!C$35+'[1]Three Statements'!C$36 )/('[1]Three Statements'!C$35+'[1]Three Statements'!C$36+'[1]Three Statements'!C$39)</f>
        <v>0.4846780064862003</v>
      </c>
      <c r="D10" s="31">
        <f>SUM('[1]Three Statements'!D$32+'[1]Three Statements'!D$35+'[1]Three Statements'!D$36 )/('[1]Three Statements'!D$35+'[1]Three Statements'!D$36+'[1]Three Statements'!D$39)</f>
        <v>0.60136833286791402</v>
      </c>
      <c r="E10" s="31">
        <f>SUM('[1]Three Statements'!E$32+'[1]Three Statements'!E$35+'[1]Three Statements'!E$36 )/('[1]Three Statements'!E$35+'[1]Three Statements'!E$36+'[1]Three Statements'!E$39)</f>
        <v>0.58945337620578775</v>
      </c>
      <c r="F10" s="31">
        <f>SUM('[1]Three Statements'!F$32+'[1]Three Statements'!F$35+'[1]Three Statements'!F$36 )/('[1]Three Statements'!F$35+'[1]Three Statements'!F$36+'[1]Three Statements'!F$39)</f>
        <v>0.61234982140924343</v>
      </c>
      <c r="G10" s="31">
        <f>SUM('[1]Three Statements'!G$32+'[1]Three Statements'!G$35+'[1]Three Statements'!G$36 )/('[1]Three Statements'!G$35+'[1]Three Statements'!G$36+'[1]Three Statements'!G$39)</f>
        <v>0.69484808454425362</v>
      </c>
      <c r="H10" s="31">
        <f>SUM('[1]Three Statements'!H$32+'[1]Three Statements'!H$35+'[1]Three Statements'!H$36 )/('[1]Three Statements'!H$35+'[1]Three Statements'!H$36+'[1]Three Statements'!H$39)</f>
        <v>0.67304647160068842</v>
      </c>
      <c r="I10" s="31">
        <f>SUM('[1]Three Statements'!I$32+'[1]Three Statements'!I$35+'[1]Three Statements'!I$36 )/('[1]Three Statements'!I$35+'[1]Three Statements'!I$36+'[1]Three Statements'!I$39)</f>
        <v>0.63871473354231978</v>
      </c>
      <c r="K10" s="18">
        <f t="shared" si="2"/>
        <v>1.0472036447153867</v>
      </c>
      <c r="L10" s="18">
        <f t="shared" si="4"/>
        <v>1.7169409376596592</v>
      </c>
      <c r="M10" s="18">
        <f t="shared" si="4"/>
        <v>2.8150075663772332</v>
      </c>
      <c r="N10" s="18">
        <f t="shared" si="4"/>
        <v>4.6153408221266732</v>
      </c>
      <c r="O10" s="18">
        <f t="shared" si="4"/>
        <v>7.567074120444607</v>
      </c>
      <c r="P10" s="18">
        <f t="shared" si="4"/>
        <v>12.40658338161856</v>
      </c>
      <c r="Q10" s="18">
        <f t="shared" si="4"/>
        <v>20.34119248140918</v>
      </c>
      <c r="R10" s="18">
        <f t="shared" si="4"/>
        <v>33.350367207362275</v>
      </c>
      <c r="S10" s="18">
        <f t="shared" si="4"/>
        <v>54.679537292734551</v>
      </c>
      <c r="T10" s="18">
        <f t="shared" si="4"/>
        <v>89.649741484331315</v>
      </c>
      <c r="U10" s="18">
        <f t="shared" si="4"/>
        <v>146.98507972333093</v>
      </c>
    </row>
    <row r="11" spans="1:21">
      <c r="A11" t="s">
        <v>12</v>
      </c>
      <c r="B11" s="19">
        <f>'[1]Three Statements'!B$14/'[1]Three Statements'!B$39</f>
        <v>0.48324228554554849</v>
      </c>
      <c r="C11" s="19">
        <f>'[1]Three Statements'!C$14/'[1]Three Statements'!C$39</f>
        <v>0.48291805805291549</v>
      </c>
      <c r="D11" s="19">
        <f>'[1]Three Statements'!D$14/'[1]Three Statements'!D$39</f>
        <v>0.74255691768826615</v>
      </c>
      <c r="E11" s="19">
        <f>'[1]Three Statements'!E$14/'[1]Three Statements'!E$39</f>
        <v>0.30278822055137844</v>
      </c>
      <c r="F11" s="19">
        <f>'[1]Three Statements'!F$14/'[1]Three Statements'!F$39</f>
        <v>0.56247382381683653</v>
      </c>
      <c r="G11" s="19">
        <f>'[1]Three Statements'!G$14/'[1]Three Statements'!G$39</f>
        <v>0.30594047475599467</v>
      </c>
      <c r="H11" s="19">
        <f>'[1]Three Statements'!H$14/'[1]Three Statements'!H$39</f>
        <v>0.57471149021575518</v>
      </c>
      <c r="I11" s="19">
        <f>'[1]Three Statements'!I$14/'[1]Three Statements'!I$39</f>
        <v>0.52647161267850928</v>
      </c>
      <c r="K11" s="18">
        <f t="shared" si="2"/>
        <v>0.86317562862293495</v>
      </c>
      <c r="L11" s="18">
        <f t="shared" si="4"/>
        <v>1.4152181198487115</v>
      </c>
      <c r="M11" s="18">
        <f t="shared" si="4"/>
        <v>2.3203184384889912</v>
      </c>
      <c r="N11" s="18">
        <f t="shared" si="4"/>
        <v>3.8042741118715564</v>
      </c>
      <c r="O11" s="18">
        <f t="shared" si="4"/>
        <v>6.2372910882355956</v>
      </c>
      <c r="P11" s="18">
        <f t="shared" si="4"/>
        <v>10.226339894378434</v>
      </c>
      <c r="Q11" s="18">
        <f t="shared" si="4"/>
        <v>16.766578015351044</v>
      </c>
      <c r="R11" s="18">
        <f t="shared" si="4"/>
        <v>27.489614197097794</v>
      </c>
      <c r="S11" s="18">
        <f t="shared" si="4"/>
        <v>45.070549757583244</v>
      </c>
      <c r="T11" s="18">
        <f t="shared" si="4"/>
        <v>73.895342469566074</v>
      </c>
      <c r="U11" s="18">
        <f t="shared" si="4"/>
        <v>121.15498186874696</v>
      </c>
    </row>
    <row r="12" spans="1:21">
      <c r="K12" s="18">
        <f t="shared" si="2"/>
        <v>0</v>
      </c>
    </row>
    <row r="13" spans="1:21">
      <c r="K13" s="18">
        <f t="shared" si="2"/>
        <v>0</v>
      </c>
    </row>
    <row r="14" spans="1:21">
      <c r="A14" t="s">
        <v>42</v>
      </c>
      <c r="B14" s="33">
        <f>'[1]Three Statements'!B$53</f>
        <v>2511</v>
      </c>
      <c r="C14" s="33">
        <f>'[1]Three Statements'!C$53</f>
        <v>5162</v>
      </c>
      <c r="D14" s="33">
        <f>'[1]Three Statements'!D$53</f>
        <v>4946</v>
      </c>
      <c r="E14" s="33">
        <f>'[1]Three Statements'!E$53</f>
        <v>2256</v>
      </c>
      <c r="F14" s="33">
        <f>'[1]Three Statements'!F$53</f>
        <v>3124</v>
      </c>
      <c r="G14" s="33">
        <f>'[1]Three Statements'!G$53</f>
        <v>2809</v>
      </c>
      <c r="H14" s="33">
        <f>'[1]Three Statements'!H$53</f>
        <v>5636</v>
      </c>
      <c r="I14" s="33">
        <f>'[1]Three Statements'!I$53</f>
        <v>7114</v>
      </c>
      <c r="K14" s="33">
        <f>'[1]Three Statements'!J$53</f>
        <v>4339</v>
      </c>
      <c r="L14" s="33">
        <f>'[1]Three Statements'!K$53</f>
        <v>4576.5238552397959</v>
      </c>
      <c r="M14" s="33">
        <f>'[1]Three Statements'!L$53</f>
        <v>4826.0697686487965</v>
      </c>
      <c r="N14" s="33">
        <f>'[1]Three Statements'!M$53</f>
        <v>5088.2314467978349</v>
      </c>
      <c r="O14" s="33">
        <f>'[1]Three Statements'!N$53</f>
        <v>5363.6316753558167</v>
      </c>
      <c r="P14" s="33">
        <f>'[1]Three Statements'!P$53</f>
        <v>0</v>
      </c>
      <c r="Q14" s="33">
        <f>'[1]Three Statements'!Q$53</f>
        <v>0</v>
      </c>
      <c r="R14" s="33">
        <f>'[1]Three Statements'!R$53</f>
        <v>0</v>
      </c>
      <c r="S14" s="33">
        <f>'[1]Three Statements'!S$53</f>
        <v>0</v>
      </c>
      <c r="T14" s="33">
        <f>'[1]Three Statements'!T$53</f>
        <v>0</v>
      </c>
      <c r="U14" s="33">
        <f>'[1]Three Statements'!U$53</f>
        <v>0</v>
      </c>
    </row>
    <row r="15" spans="1:21">
      <c r="A15" t="s">
        <v>13</v>
      </c>
      <c r="B15" s="2"/>
      <c r="C15" s="2"/>
      <c r="D15" s="2"/>
      <c r="E15" s="2"/>
      <c r="F15" s="2"/>
      <c r="G15" s="2"/>
      <c r="H15" s="2"/>
      <c r="I15" s="2"/>
      <c r="J15" t="s">
        <v>41</v>
      </c>
      <c r="K15" s="2">
        <f>K14*(1+L16)</f>
        <v>4113.8037505135053</v>
      </c>
      <c r="L15" s="2">
        <f t="shared" ref="L15:U15" si="5">L14*(1+M16)</f>
        <v>4339.8814359542484</v>
      </c>
      <c r="M15" s="2">
        <f t="shared" si="5"/>
        <v>4577.4154842196667</v>
      </c>
      <c r="N15" s="2">
        <f t="shared" si="5"/>
        <v>4826.9718771218331</v>
      </c>
      <c r="O15" s="2">
        <f t="shared" si="5"/>
        <v>5363.6316753558167</v>
      </c>
      <c r="P15" s="2">
        <f t="shared" si="5"/>
        <v>0</v>
      </c>
      <c r="Q15" s="2">
        <f t="shared" si="5"/>
        <v>0</v>
      </c>
      <c r="R15" s="2">
        <f t="shared" si="5"/>
        <v>0</v>
      </c>
      <c r="S15" s="2">
        <f t="shared" si="5"/>
        <v>0</v>
      </c>
      <c r="T15" s="2">
        <f t="shared" si="5"/>
        <v>0</v>
      </c>
      <c r="U15" s="2">
        <f t="shared" si="5"/>
        <v>0</v>
      </c>
    </row>
    <row r="16" spans="1:21" s="10" customFormat="1" ht="12">
      <c r="A16" s="13" t="s">
        <v>14</v>
      </c>
      <c r="B16" s="11" t="str">
        <f>+IFERROR(B14/A14-1,"nm")</f>
        <v>nm</v>
      </c>
      <c r="C16" s="11">
        <f t="shared" ref="C16:I16" si="6">+IFERROR(C14/B14-1,"nm")</f>
        <v>1.0557546794105934</v>
      </c>
      <c r="D16" s="11">
        <f t="shared" si="6"/>
        <v>-4.1844246416117836E-2</v>
      </c>
      <c r="E16" s="11">
        <f t="shared" si="6"/>
        <v>-0.54387383744439943</v>
      </c>
      <c r="F16" s="11">
        <f t="shared" si="6"/>
        <v>0.38475177304964547</v>
      </c>
      <c r="G16" s="11">
        <f t="shared" si="6"/>
        <v>-0.10083226632522402</v>
      </c>
      <c r="H16" s="11">
        <f t="shared" si="6"/>
        <v>1.0064079743681025</v>
      </c>
      <c r="I16" s="11">
        <f t="shared" si="6"/>
        <v>0.26224272533711845</v>
      </c>
      <c r="J16" s="13"/>
      <c r="K16" s="12">
        <f>+IFERROR(I14/K14-1,"nm")</f>
        <v>0.63954828301451938</v>
      </c>
      <c r="L16" s="12">
        <f t="shared" ref="L16:O16" si="7">+IFERROR(K14/L14-1,"nm")</f>
        <v>-5.1900495387530388E-2</v>
      </c>
      <c r="M16" s="12">
        <f t="shared" si="7"/>
        <v>-5.170789594259606E-2</v>
      </c>
      <c r="N16" s="12">
        <f t="shared" si="7"/>
        <v>-5.1523143333824573E-2</v>
      </c>
      <c r="O16" s="12">
        <f t="shared" si="7"/>
        <v>-5.1345850205068766E-2</v>
      </c>
      <c r="P16" s="20"/>
      <c r="Q16" s="20"/>
      <c r="R16" s="20"/>
      <c r="S16" s="20"/>
      <c r="T16" s="20"/>
      <c r="U16" s="20"/>
    </row>
    <row r="17" spans="1:21">
      <c r="A17" t="s">
        <v>19</v>
      </c>
      <c r="B17" s="37">
        <f>(B4*B19)+('[1]Three Statements'!B$35+'[1]Three Statements'!B$36)/'[1]Three Statements'!B$43</f>
        <v>8086.479408717878</v>
      </c>
      <c r="C17" s="37">
        <f>(C4*C19)+('[1]Three Statements'!C$35+'[1]Three Statements'!C$36)/'[1]Three Statements'!C$43</f>
        <v>8214.9677184755583</v>
      </c>
      <c r="D17" s="37">
        <f>(D4*D19)+('[1]Three Statements'!D$35+'[1]Three Statements'!D$36)/'[1]Three Statements'!D$43</f>
        <v>-1362.6376487381115</v>
      </c>
      <c r="E17" s="37">
        <f>(E4*E19)+('[1]Three Statements'!E$35+'[1]Three Statements'!E$36)/'[1]Three Statements'!E$43</f>
        <v>8898.809207014554</v>
      </c>
      <c r="F17" s="37">
        <f>(F4*F19)+('[1]Three Statements'!F$35+'[1]Three Statements'!F$36)/'[1]Three Statements'!F$43</f>
        <v>9828.4765399482221</v>
      </c>
      <c r="G17" s="37">
        <f>(G4*G19)+('[1]Three Statements'!G$35+'[1]Three Statements'!G$36)/'[1]Three Statements'!G$43</f>
        <v>13156.785593929168</v>
      </c>
      <c r="H17" s="37">
        <f>(H4*H19)+('[1]Three Statements'!H$35+'[1]Three Statements'!H$36)/'[1]Three Statements'!H$43</f>
        <v>15023.669728873345</v>
      </c>
      <c r="I17" s="37">
        <f>(I4*I19)+('[1]Three Statements'!I$35+'[1]Three Statements'!I$36)/'[1]Three Statements'!I$43</f>
        <v>16550.308690607872</v>
      </c>
      <c r="J17" t="s">
        <v>28</v>
      </c>
      <c r="K17" s="2"/>
      <c r="L17" s="2"/>
      <c r="M17" s="2"/>
      <c r="N17" s="2"/>
      <c r="O17" s="2"/>
    </row>
    <row r="18" spans="1:21">
      <c r="A18" s="1" t="s">
        <v>15</v>
      </c>
      <c r="B18" s="32">
        <v>1.1599999999999999</v>
      </c>
      <c r="C18" s="32">
        <v>1.1599999999999999</v>
      </c>
      <c r="D18" s="32">
        <v>1.1599999999999999</v>
      </c>
      <c r="E18" s="32">
        <v>1.1599999999999999</v>
      </c>
      <c r="F18" s="32">
        <v>1.1599999999999999</v>
      </c>
      <c r="G18" s="32">
        <v>1.1599999999999999</v>
      </c>
      <c r="H18" s="32">
        <v>1.1599999999999999</v>
      </c>
      <c r="I18" s="32">
        <v>1.1599999999999999</v>
      </c>
      <c r="J18" s="1" t="s">
        <v>44</v>
      </c>
    </row>
    <row r="19" spans="1:21">
      <c r="A19" s="1" t="s">
        <v>16</v>
      </c>
      <c r="B19" s="25">
        <f>B20+B18*(B21-B20)</f>
        <v>0.32144</v>
      </c>
      <c r="C19" s="25">
        <f t="shared" ref="C19:I19" si="8">C20+C18*(C21-C20)</f>
        <v>0.32055823999999999</v>
      </c>
      <c r="D19" s="25">
        <f t="shared" si="8"/>
        <v>-4.7999999999999599E-2</v>
      </c>
      <c r="E19" s="25">
        <f t="shared" si="8"/>
        <v>0.32014399999999998</v>
      </c>
      <c r="F19" s="25">
        <f t="shared" si="8"/>
        <v>0.321376</v>
      </c>
      <c r="G19" s="25">
        <f t="shared" si="8"/>
        <v>0.323376</v>
      </c>
      <c r="H19" s="25">
        <f t="shared" si="8"/>
        <v>0.32006400000000002</v>
      </c>
      <c r="I19" s="25">
        <f t="shared" si="8"/>
        <v>0.32200000000000001</v>
      </c>
      <c r="J19" s="1" t="s">
        <v>31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>
      <c r="A20" s="1" t="s">
        <v>33</v>
      </c>
      <c r="B20" s="25">
        <v>2.1000000000000001E-2</v>
      </c>
      <c r="C20" s="38">
        <v>2.6511E-2</v>
      </c>
      <c r="D20">
        <v>2.33</v>
      </c>
      <c r="E20" s="38">
        <v>2.9100000000000001E-2</v>
      </c>
      <c r="F20" s="38">
        <v>2.1399999999999999E-2</v>
      </c>
      <c r="G20" s="38">
        <v>8.8999999999999999E-3</v>
      </c>
      <c r="H20" s="38">
        <v>2.9600000000000001E-2</v>
      </c>
      <c r="I20" s="25">
        <v>1.7500000000000002E-2</v>
      </c>
      <c r="J20" s="28" t="s">
        <v>32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21">
      <c r="A21" s="1" t="s">
        <v>34</v>
      </c>
      <c r="B21" s="25">
        <v>0.28000000000000003</v>
      </c>
      <c r="C21" s="25">
        <v>0.28000000000000003</v>
      </c>
      <c r="D21" s="25">
        <v>0.28000000000000003</v>
      </c>
      <c r="E21" s="25">
        <v>0.28000000000000003</v>
      </c>
      <c r="F21" s="25">
        <v>0.28000000000000003</v>
      </c>
      <c r="G21" s="25">
        <v>0.28000000000000003</v>
      </c>
      <c r="H21" s="25">
        <v>0.28000000000000003</v>
      </c>
      <c r="I21" s="25">
        <v>0.28000000000000003</v>
      </c>
      <c r="J21" s="1" t="s">
        <v>43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>
      <c r="A22" s="1" t="s">
        <v>17</v>
      </c>
      <c r="B22" s="36">
        <f>'[1]Three Statements'!B$12/('[1]Three Statements'!B$32+'[1]Three Statements'!B$35+'[1]Three Statements'!B$36)</f>
        <v>0.12890733056708162</v>
      </c>
      <c r="C22" s="36">
        <f>'[1]Three Statements'!C$12/('[1]Three Statements'!C$32+'[1]Three Statements'!C$35+'[1]Three Statements'!C$36)</f>
        <v>0.11784787655332514</v>
      </c>
      <c r="D22" s="36">
        <f>'[1]Three Statements'!D$12/('[1]Three Statements'!D$32+'[1]Three Statements'!D$35+'[1]Three Statements'!D$36)</f>
        <v>7.4994195495704671E-2</v>
      </c>
      <c r="E22" s="36">
        <f>'[1]Three Statements'!E$12/('[1]Three Statements'!E$32+'[1]Three Statements'!E$35+'[1]Three Statements'!E$36)</f>
        <v>0.26096443377700196</v>
      </c>
      <c r="F22" s="36">
        <f>'[1]Three Statements'!F$12/('[1]Three Statements'!F$32+'[1]Three Statements'!F$35+'[1]Three Statements'!F$36)</f>
        <v>6.8228015908086609E-2</v>
      </c>
      <c r="G22" s="36">
        <f>'[1]Three Statements'!G$12/('[1]Three Statements'!G$32+'[1]Three Statements'!G$35+'[1]Three Statements'!G$36)</f>
        <v>1.9458734063967791E-2</v>
      </c>
      <c r="H22" s="36">
        <f>'[1]Three Statements'!H$12/('[1]Three Statements'!H$32+'[1]Three Statements'!H$35+'[1]Three Statements'!H$36)</f>
        <v>4.7770049099836336E-2</v>
      </c>
      <c r="I22" s="36">
        <f>'[1]Three Statements'!I$12/('[1]Three Statements'!I$32+'[1]Three Statements'!I$35+'[1]Three Statements'!I$36)</f>
        <v>3.0930470347648262E-2</v>
      </c>
      <c r="J22" t="s">
        <v>26</v>
      </c>
      <c r="K22" s="25">
        <f>'[1]Three Statements'!J$12/('[1]Three Statements'!I$32+'[1]Three Statements'!J$35+'[1]Three Statements'!J$36)</f>
        <v>5.5188480919595356E-2</v>
      </c>
      <c r="L22" s="25">
        <f>'[1]Three Statements'!K$12/('[1]Three Statements'!J$32+'[1]Three Statements'!K$35+'[1]Three Statements'!K$36)</f>
        <v>6.0372665679689665E-2</v>
      </c>
      <c r="M22" s="25">
        <f>'[1]Three Statements'!L$12/('[1]Three Statements'!K$32+'[1]Three Statements'!L$35+'[1]Three Statements'!L$36)</f>
        <v>6.6840266033802651E-2</v>
      </c>
      <c r="N22" s="25">
        <f>'[1]Three Statements'!M$12/('[1]Three Statements'!L$32+'[1]Three Statements'!M$35+'[1]Three Statements'!M$36)</f>
        <v>7.5100771926462334E-2</v>
      </c>
      <c r="O22" s="25">
        <f>'[1]Three Statements'!N$12/('[1]Three Statements'!M$32+'[1]Three Statements'!N$35+'[1]Three Statements'!N$36)</f>
        <v>8.5960787694966942E-2</v>
      </c>
      <c r="P22" s="25"/>
      <c r="Q22" s="25"/>
      <c r="R22" s="25"/>
      <c r="S22" s="25"/>
      <c r="T22" s="25"/>
      <c r="U22" s="25"/>
    </row>
    <row r="23" spans="1:21">
      <c r="A23" s="1" t="s">
        <v>18</v>
      </c>
      <c r="B23" s="25">
        <f>('[1]Three Statements'!B$32+'[1]Three Statements'!B$35+'[1]Three Statements'!B$36)/'[1]Three Statements'!B$31</f>
        <v>0.33476871787748297</v>
      </c>
      <c r="C23" s="25">
        <f>('[1]Three Statements'!C$32+'[1]Three Statements'!C$35+'[1]Three Statements'!C$36)/'[1]Three Statements'!C$31</f>
        <v>0.34226023555804824</v>
      </c>
      <c r="D23" s="25">
        <f>('[1]Three Statements'!D$32+'[1]Three Statements'!D$35+'[1]Three Statements'!D$36)/'[1]Three Statements'!D$31</f>
        <v>0.37035126187712286</v>
      </c>
      <c r="E23" s="25">
        <f>('[1]Three Statements'!E$32+'[1]Three Statements'!E$35+'[1]Three Statements'!E$36)/'[1]Three Statements'!E$31</f>
        <v>0.40672701455449062</v>
      </c>
      <c r="F23" s="25">
        <f>('[1]Three Statements'!F$32+'[1]Three Statements'!F$35+'[1]Three Statements'!F$36)/'[1]Three Statements'!F$31</f>
        <v>0.47708394822279376</v>
      </c>
      <c r="G23" s="25">
        <f>('[1]Three Statements'!G$32+'[1]Three Statements'!G$35+'[1]Three Statements'!G$36)/'[1]Three Statements'!G$31</f>
        <v>0.57060812966626251</v>
      </c>
      <c r="H23" s="25">
        <f>('[1]Three Statements'!H$32+'[1]Three Statements'!H$35+'[1]Three Statements'!H$36)/'[1]Three Statements'!H$31</f>
        <v>0.51807101218865925</v>
      </c>
      <c r="I23" s="25">
        <f>('[1]Three Statements'!I$32+'[1]Three Statements'!I$35+'[1]Three Statements'!I$36)/'[1]Three Statements'!I$31</f>
        <v>0.48510701619503482</v>
      </c>
      <c r="J23" t="s">
        <v>26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>
      <c r="A24" t="s">
        <v>27</v>
      </c>
      <c r="J24" t="s">
        <v>36</v>
      </c>
      <c r="K24" s="2"/>
      <c r="L24" s="2"/>
      <c r="M24" s="2"/>
      <c r="N24" s="2"/>
      <c r="O24" s="2"/>
    </row>
    <row r="25" spans="1:21" ht="15" thickBot="1">
      <c r="K25" s="2"/>
      <c r="L25" s="2"/>
      <c r="M25" s="2"/>
      <c r="N25" s="2"/>
      <c r="O25" s="2"/>
    </row>
    <row r="26" spans="1:21">
      <c r="A26" s="21" t="s">
        <v>24</v>
      </c>
      <c r="B26" s="34">
        <f>K14</f>
        <v>4339</v>
      </c>
      <c r="K26" s="2"/>
      <c r="L26" s="2"/>
      <c r="M26" s="2"/>
      <c r="N26" s="2"/>
      <c r="O26" s="2"/>
    </row>
    <row r="27" spans="1:21">
      <c r="A27" s="22" t="s">
        <v>25</v>
      </c>
      <c r="B27" s="40">
        <f>U14</f>
        <v>0</v>
      </c>
      <c r="K27" s="2"/>
      <c r="L27" s="2"/>
      <c r="M27" s="2"/>
      <c r="N27" s="2"/>
      <c r="O27" s="2"/>
    </row>
    <row r="28" spans="1:21">
      <c r="A28" s="22" t="s">
        <v>20</v>
      </c>
      <c r="B28" s="39">
        <f>B27+B26</f>
        <v>4339</v>
      </c>
    </row>
    <row r="29" spans="1:21">
      <c r="A29" s="22" t="s">
        <v>22</v>
      </c>
      <c r="B29" s="23">
        <f>SUM('[1]Three Statements'!B$32,'[1]Three Statements'!B$35+'[1]Three Statements'!B$36)-'[1]Three Statements'!$B$21</f>
        <v>3378</v>
      </c>
    </row>
    <row r="30" spans="1:21">
      <c r="A30" s="22" t="s">
        <v>23</v>
      </c>
      <c r="B30" s="23">
        <f>'[1]Three Statements'!$B$39+'[1]Three Statements'!$B$42</f>
        <v>8019</v>
      </c>
    </row>
    <row r="31" spans="1:21" ht="15" thickBot="1">
      <c r="A31" s="24" t="s">
        <v>21</v>
      </c>
      <c r="B31" s="35">
        <f>B30/'[1]Three Statements'!$B$15</f>
        <v>4.5335820895522385</v>
      </c>
    </row>
    <row r="34" spans="1:1">
      <c r="A34" t="s">
        <v>45</v>
      </c>
    </row>
  </sheetData>
  <hyperlinks>
    <hyperlink ref="J20" r:id="rId1" xr:uid="{00000000-0004-0000-0100-000000000000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hardy ramsden</cp:lastModifiedBy>
  <dcterms:created xsi:type="dcterms:W3CDTF">2020-05-20T17:26:08Z</dcterms:created>
  <dcterms:modified xsi:type="dcterms:W3CDTF">2024-08-19T09:51:45Z</dcterms:modified>
</cp:coreProperties>
</file>