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udents.uce.ac.uk\filespace\mb20\bs\S20127743\"/>
    </mc:Choice>
  </mc:AlternateContent>
  <xr:revisionPtr revIDLastSave="0" documentId="8_{E68C7533-D219-4E1E-9014-8730A7122D4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3" l="1"/>
  <c r="E49" i="3"/>
  <c r="E48" i="3"/>
  <c r="E47" i="3"/>
  <c r="E46" i="3"/>
  <c r="E44" i="3"/>
  <c r="E43" i="3"/>
  <c r="E42" i="3"/>
  <c r="E40" i="3"/>
  <c r="E37" i="3"/>
  <c r="E36" i="3"/>
  <c r="E35" i="3"/>
  <c r="E34" i="3"/>
  <c r="E30" i="3"/>
  <c r="E29" i="3"/>
  <c r="E28" i="3"/>
  <c r="E27" i="3"/>
  <c r="E26" i="3"/>
  <c r="E25" i="3"/>
  <c r="E22" i="3"/>
  <c r="E19" i="3"/>
  <c r="D18" i="3"/>
  <c r="D19" i="3"/>
  <c r="E20" i="3"/>
  <c r="E18" i="3"/>
  <c r="E13" i="3"/>
  <c r="E12" i="3"/>
  <c r="E11" i="3"/>
  <c r="C11" i="3"/>
  <c r="C12" i="3" s="1"/>
  <c r="E10" i="3"/>
  <c r="E9" i="3"/>
  <c r="E8" i="3"/>
  <c r="D8" i="3"/>
  <c r="C8" i="3"/>
  <c r="E7" i="3"/>
  <c r="C6" i="3"/>
  <c r="E6" i="3"/>
  <c r="D6" i="3"/>
  <c r="E5" i="3"/>
  <c r="D50" i="3"/>
  <c r="D49" i="3"/>
  <c r="D48" i="3"/>
  <c r="D47" i="3"/>
  <c r="D46" i="3"/>
  <c r="D44" i="3"/>
  <c r="D42" i="3"/>
  <c r="D43" i="3"/>
  <c r="D40" i="3"/>
  <c r="D37" i="3"/>
  <c r="D36" i="3"/>
  <c r="D35" i="3"/>
  <c r="D34" i="3"/>
  <c r="D30" i="3"/>
  <c r="D29" i="3"/>
  <c r="D28" i="3"/>
  <c r="D27" i="3"/>
  <c r="D26" i="3"/>
  <c r="D25" i="3"/>
  <c r="D22" i="3"/>
  <c r="D20" i="3"/>
  <c r="D13" i="3"/>
  <c r="D12" i="3"/>
  <c r="D11" i="3"/>
  <c r="D10" i="3"/>
  <c r="C10" i="3"/>
  <c r="D9" i="3"/>
  <c r="D7" i="3"/>
  <c r="D5" i="3"/>
  <c r="C50" i="3"/>
  <c r="C49" i="3"/>
  <c r="C48" i="3"/>
  <c r="C47" i="3"/>
  <c r="C46" i="3"/>
  <c r="C44" i="3"/>
  <c r="C43" i="3"/>
  <c r="C42" i="3"/>
  <c r="C40" i="3"/>
  <c r="C37" i="3"/>
  <c r="C36" i="3"/>
  <c r="C35" i="3"/>
  <c r="C34" i="3"/>
  <c r="C30" i="3"/>
  <c r="C29" i="3"/>
  <c r="C28" i="3"/>
  <c r="C27" i="3"/>
  <c r="C26" i="3"/>
  <c r="C25" i="3"/>
  <c r="C18" i="3"/>
  <c r="C22" i="3"/>
  <c r="C20" i="3"/>
  <c r="C19" i="3"/>
  <c r="C9" i="3"/>
  <c r="C7" i="3"/>
  <c r="C5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B8" i="1"/>
  <c r="E3" i="3"/>
  <c r="D3" i="3"/>
  <c r="C3" i="3"/>
  <c r="D33" i="1"/>
  <c r="D73" i="1" s="1"/>
  <c r="C33" i="1"/>
  <c r="C73" i="1" s="1"/>
  <c r="B33" i="1"/>
  <c r="B73" i="1" s="1"/>
  <c r="B62" i="1" l="1"/>
  <c r="B13" i="1"/>
  <c r="C62" i="1"/>
  <c r="C69" i="1" s="1"/>
  <c r="C18" i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D48" i="1"/>
  <c r="B69" i="1"/>
  <c r="A47" i="3"/>
  <c r="A49" i="3" s="1"/>
  <c r="A24" i="3"/>
  <c r="A25" i="3" s="1"/>
  <c r="A26" i="3" s="1"/>
  <c r="A27" i="3" s="1"/>
  <c r="A28" i="3" s="1"/>
  <c r="A29" i="3" s="1"/>
  <c r="A30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<sst xmlns="http://schemas.openxmlformats.org/spreadsheetml/2006/main" count="173" uniqueCount="150">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</sst>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2" fillId="0" borderId="0" xfId="0" applyFont="1" applyBorder="1"/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7" sqref="A27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141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148</v>
      </c>
    </row>
    <row r="7" spans="1:1" x14ac:dyDescent="0.25">
      <c r="A7" s="1"/>
    </row>
    <row r="8" spans="1:1" x14ac:dyDescent="0.25">
      <c r="A8" s="17" t="s">
        <v>149</v>
      </c>
    </row>
    <row r="9" spans="1:1" x14ac:dyDescent="0.25">
      <c r="A9" s="1" t="s">
        <v>145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146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144</v>
      </c>
    </row>
    <row r="27" spans="1:1" x14ac:dyDescent="0.25">
      <c r="A27" s="16" t="s">
        <v>143</v>
      </c>
    </row>
    <row r="29" spans="1:1" x14ac:dyDescent="0.25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workbookViewId="0">
      <selection activeCell="D20" sqref="D20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6" t="s">
        <v>1</v>
      </c>
      <c r="B2" s="26"/>
      <c r="C2" s="26"/>
      <c r="D2" s="26"/>
    </row>
    <row r="3" spans="1:10" x14ac:dyDescent="0.25">
      <c r="B3" s="25" t="s">
        <v>23</v>
      </c>
      <c r="C3" s="25"/>
      <c r="D3" s="25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4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4" s="21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4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4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4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4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4" ht="15.75" thickTop="1" x14ac:dyDescent="0.25">
      <c r="A23" t="s">
        <v>19</v>
      </c>
    </row>
    <row r="24" spans="1:4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4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4" x14ac:dyDescent="0.25">
      <c r="A26" t="s">
        <v>22</v>
      </c>
    </row>
    <row r="27" spans="1:4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4" x14ac:dyDescent="0.25">
      <c r="A28" s="1" t="s">
        <v>21</v>
      </c>
      <c r="B28" s="2">
        <v>16325819</v>
      </c>
      <c r="C28" s="2">
        <v>16864919</v>
      </c>
      <c r="D28" s="2">
        <v>17528214</v>
      </c>
    </row>
    <row r="31" spans="1:4" x14ac:dyDescent="0.25">
      <c r="A31" s="26" t="s">
        <v>24</v>
      </c>
      <c r="B31" s="26"/>
      <c r="C31" s="26"/>
      <c r="D31" s="26"/>
    </row>
    <row r="32" spans="1:4" x14ac:dyDescent="0.25">
      <c r="B32" s="25" t="s">
        <v>142</v>
      </c>
      <c r="C32" s="25"/>
      <c r="D32" s="25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3" t="s">
        <v>53</v>
      </c>
      <c r="B61" s="22">
        <f>+B59+B60</f>
        <v>148101</v>
      </c>
      <c r="C61" s="22">
        <f t="shared" ref="C61:D61" si="13">+C59+C60</f>
        <v>162431</v>
      </c>
      <c r="D61" s="22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6" t="s">
        <v>55</v>
      </c>
      <c r="B71" s="26"/>
      <c r="C71" s="26"/>
      <c r="D71" s="26"/>
    </row>
    <row r="72" spans="1:4" x14ac:dyDescent="0.25">
      <c r="B72" s="25" t="s">
        <v>23</v>
      </c>
      <c r="C72" s="25"/>
      <c r="D72" s="25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22" workbookViewId="0">
      <selection activeCell="E50" sqref="E50"/>
    </sheetView>
  </sheetViews>
  <sheetFormatPr defaultRowHeight="15" x14ac:dyDescent="0.25"/>
  <cols>
    <col min="1" max="1" width="4.7109375" customWidth="1"/>
    <col min="2" max="2" width="44.85546875" customWidth="1"/>
    <col min="3" max="5" width="12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5" t="s">
        <v>23</v>
      </c>
      <c r="D2" s="25"/>
      <c r="E2" s="25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>
        <f>SUM(135405/153982)</f>
        <v>0.87935602862672257</v>
      </c>
      <c r="D5">
        <f>SUM(134836/125481)</f>
        <v>1.0745531195957954</v>
      </c>
      <c r="E5">
        <f>SUM(143713/105392)</f>
        <v>1.3636044481554577</v>
      </c>
    </row>
    <row r="6" spans="1:10" x14ac:dyDescent="0.25">
      <c r="A6" s="18">
        <f t="shared" ref="A6:A13" si="0">+A5+0.1</f>
        <v>1.2000000000000002</v>
      </c>
      <c r="B6" s="1" t="s">
        <v>101</v>
      </c>
      <c r="C6">
        <f>SUM(130459/153982)</f>
        <v>0.84723539114961488</v>
      </c>
      <c r="D6">
        <f>SUM(88917/125481)</f>
        <v>0.70860927152317876</v>
      </c>
      <c r="E6">
        <f>SUM(139652/105392)</f>
        <v>1.325072111735236</v>
      </c>
    </row>
    <row r="7" spans="1:10" x14ac:dyDescent="0.25">
      <c r="A7" s="18">
        <f t="shared" si="0"/>
        <v>1.3000000000000003</v>
      </c>
      <c r="B7" s="1" t="s">
        <v>102</v>
      </c>
      <c r="C7">
        <f>SUM(23646/153982)</f>
        <v>0.15356340351469652</v>
      </c>
      <c r="D7">
        <f>SUM(34940/125481)</f>
        <v>0.27844853005634318</v>
      </c>
      <c r="E7">
        <f>SUM(38016/105392)</f>
        <v>0.36071049035979963</v>
      </c>
    </row>
    <row r="8" spans="1:10" x14ac:dyDescent="0.25">
      <c r="A8" s="18">
        <f t="shared" si="0"/>
        <v>1.4000000000000004</v>
      </c>
      <c r="B8" s="1" t="s">
        <v>103</v>
      </c>
      <c r="C8">
        <f>SUM(135405/(51345/365))</f>
        <v>962.56354075372474</v>
      </c>
      <c r="D8">
        <f>SUM(134836/120.2384)</f>
        <v>1121.4054744574114</v>
      </c>
      <c r="E8">
        <f>SUM(143713/(38668/365))</f>
        <v>1356.5543860556534</v>
      </c>
    </row>
    <row r="9" spans="1:10" x14ac:dyDescent="0.25">
      <c r="A9" s="18">
        <f t="shared" si="0"/>
        <v>1.5000000000000004</v>
      </c>
      <c r="B9" s="1" t="s">
        <v>104</v>
      </c>
      <c r="C9">
        <f>SUM(3215/223546)*365</f>
        <v>5.2493670206579406</v>
      </c>
      <c r="D9">
        <f>SUM(1969/365817)*365</f>
        <v>1.9646025198391546</v>
      </c>
      <c r="E9">
        <f>SUM(1967/274515)*365</f>
        <v>2.6153579950093802</v>
      </c>
    </row>
    <row r="10" spans="1:10" x14ac:dyDescent="0.25">
      <c r="A10" s="18">
        <f t="shared" si="0"/>
        <v>1.6000000000000005</v>
      </c>
      <c r="B10" s="1" t="s">
        <v>105</v>
      </c>
      <c r="C10">
        <f>SUM(64115/223546)*365</f>
        <v>104.68527730310539</v>
      </c>
      <c r="D10">
        <f>SUM(54763/212981)*365</f>
        <v>93.851071222315596</v>
      </c>
      <c r="E10">
        <f>SUM(42269/169559)*365</f>
        <v>90.990068353788359</v>
      </c>
    </row>
    <row r="11" spans="1:10" x14ac:dyDescent="0.25">
      <c r="A11" s="18">
        <f t="shared" si="0"/>
        <v>1.7000000000000006</v>
      </c>
      <c r="B11" s="1" t="s">
        <v>106</v>
      </c>
      <c r="C11">
        <f>SUM(13180.5/394328)*365</f>
        <v>12.200205159156843</v>
      </c>
      <c r="D11">
        <f>SUM(8076.5/365817)*365</f>
        <v>8.0584622912549175</v>
      </c>
      <c r="E11">
        <f>SUM(11518.5/274515)*365</f>
        <v>15.315201355117205</v>
      </c>
    </row>
    <row r="12" spans="1:10" x14ac:dyDescent="0.25">
      <c r="A12" s="18">
        <f t="shared" si="0"/>
        <v>1.8000000000000007</v>
      </c>
      <c r="B12" s="1" t="s">
        <v>107</v>
      </c>
      <c r="C12">
        <f>SUM(C9+C11-C10)</f>
        <v>-87.235705123290614</v>
      </c>
      <c r="D12">
        <f>SUM(D9+D11-D10)</f>
        <v>-83.828006411221523</v>
      </c>
      <c r="E12">
        <f>SUM(E9+E11-E10)</f>
        <v>-73.059509003661773</v>
      </c>
    </row>
    <row r="13" spans="1:10" x14ac:dyDescent="0.25">
      <c r="A13" s="18">
        <f t="shared" si="0"/>
        <v>1.9000000000000008</v>
      </c>
      <c r="B13" s="1" t="s">
        <v>108</v>
      </c>
      <c r="C13" s="24">
        <v>-4.7140000000000001E-2</v>
      </c>
      <c r="D13" s="24">
        <f>SUM(9355/152836)</f>
        <v>6.120940092648329E-2</v>
      </c>
      <c r="E13" s="24">
        <f>SUM(38321/104956)</f>
        <v>0.36511490529364687</v>
      </c>
    </row>
    <row r="14" spans="1:10" x14ac:dyDescent="0.25">
      <c r="A14" s="18"/>
      <c r="B14" s="3" t="s">
        <v>109</v>
      </c>
      <c r="C14">
        <v>-18577</v>
      </c>
      <c r="D14">
        <v>9355</v>
      </c>
      <c r="E14"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110</v>
      </c>
    </row>
    <row r="17" spans="1:5" x14ac:dyDescent="0.25">
      <c r="A17" s="18">
        <f>+A16+0.1</f>
        <v>2.1</v>
      </c>
      <c r="B17" s="1" t="s">
        <v>9</v>
      </c>
      <c r="C17">
        <v>170782</v>
      </c>
      <c r="D17">
        <v>152836</v>
      </c>
      <c r="E17">
        <v>104956</v>
      </c>
    </row>
    <row r="18" spans="1:5" x14ac:dyDescent="0.25">
      <c r="A18" s="18">
        <f>+A17+0.1</f>
        <v>2.2000000000000002</v>
      </c>
      <c r="B18" s="1" t="s">
        <v>111</v>
      </c>
      <c r="C18">
        <f>SUM(0.302887*100)</f>
        <v>30.288700000000002</v>
      </c>
      <c r="D18">
        <f>SUM(D19/365807)*100</f>
        <v>8.1415548438279185E-5</v>
      </c>
      <c r="E18">
        <f>SUM(E19*100)</f>
        <v>24.147314354406863</v>
      </c>
    </row>
    <row r="19" spans="1:5" x14ac:dyDescent="0.25">
      <c r="A19" s="18"/>
      <c r="B19" s="3" t="s">
        <v>112</v>
      </c>
      <c r="C19">
        <f>SUM(119437/394328)</f>
        <v>0.30288744395528594</v>
      </c>
      <c r="D19">
        <f>SUM(108949/365817)</f>
        <v>0.29782377527561593</v>
      </c>
      <c r="E19">
        <f>SUM(66288/274515)</f>
        <v>0.24147314354406862</v>
      </c>
    </row>
    <row r="20" spans="1:5" x14ac:dyDescent="0.25">
      <c r="A20" s="18">
        <f>+A18+0.1</f>
        <v>2.3000000000000003</v>
      </c>
      <c r="B20" s="1" t="s">
        <v>113</v>
      </c>
      <c r="C20">
        <f>SUM(C21/394328)*100</f>
        <v>30.204043334482968</v>
      </c>
      <c r="D20">
        <f>SUM(D21/365817)*100</f>
        <v>29.85290459437369</v>
      </c>
      <c r="E20">
        <f>SUM(E21/274515)*100</f>
        <v>24.439830246070343</v>
      </c>
    </row>
    <row r="21" spans="1:5" x14ac:dyDescent="0.25">
      <c r="A21" s="18"/>
      <c r="B21" s="3" t="s">
        <v>114</v>
      </c>
      <c r="C21">
        <v>119103</v>
      </c>
      <c r="D21">
        <v>109207</v>
      </c>
      <c r="E21">
        <v>67091</v>
      </c>
    </row>
    <row r="22" spans="1:5" x14ac:dyDescent="0.25">
      <c r="A22" s="18">
        <f>+A20+0.1</f>
        <v>2.4000000000000004</v>
      </c>
      <c r="B22" s="1" t="s">
        <v>115</v>
      </c>
      <c r="C22">
        <f>SUM(99803/394328)*100</f>
        <v>25.309640705199733</v>
      </c>
      <c r="D22">
        <f>SUM(94680/365817)*100</f>
        <v>25.881793355694239</v>
      </c>
      <c r="E22">
        <f>SUM(57411/274515)*100</f>
        <v>20.913611278072235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116</v>
      </c>
    </row>
    <row r="25" spans="1:5" x14ac:dyDescent="0.25">
      <c r="A25" s="18">
        <f>+A24+0.1</f>
        <v>3.1</v>
      </c>
      <c r="B25" s="1" t="s">
        <v>117</v>
      </c>
      <c r="C25">
        <f>SUM(302083/50672)</f>
        <v>5.9615369434796337</v>
      </c>
      <c r="D25">
        <f>SUM(287912/63090)</f>
        <v>4.5635124425423994</v>
      </c>
      <c r="E25">
        <f>SUM(258594/65339)</f>
        <v>3.9577281562313473</v>
      </c>
    </row>
    <row r="26" spans="1:5" x14ac:dyDescent="0.25">
      <c r="A26" s="18">
        <f t="shared" ref="A26:A30" si="1">+A25+0.1</f>
        <v>3.2</v>
      </c>
      <c r="B26" s="1" t="s">
        <v>118</v>
      </c>
      <c r="C26">
        <f>SUM(110087/352775)</f>
        <v>0.31206009496137765</v>
      </c>
      <c r="D26">
        <f>SUM(118719/351002)</f>
        <v>0.33822884200090025</v>
      </c>
      <c r="E26">
        <f>SUM(107440/323888)</f>
        <v>0.33171960677765155</v>
      </c>
    </row>
    <row r="27" spans="1:5" x14ac:dyDescent="0.25">
      <c r="A27" s="18">
        <f t="shared" si="1"/>
        <v>3.3000000000000003</v>
      </c>
      <c r="B27" s="1" t="s">
        <v>119</v>
      </c>
      <c r="C27">
        <f>SUM(110087/160769)</f>
        <v>0.68475265753969983</v>
      </c>
      <c r="D27">
        <f>SUM(118719/181809)</f>
        <v>0.65298747586753136</v>
      </c>
      <c r="E27">
        <f>SUM(107440/172779)</f>
        <v>0.62183482946422886</v>
      </c>
    </row>
    <row r="28" spans="1:5" x14ac:dyDescent="0.25">
      <c r="A28" s="18">
        <f t="shared" si="1"/>
        <v>3.4000000000000004</v>
      </c>
      <c r="B28" s="1" t="s">
        <v>120</v>
      </c>
      <c r="C28">
        <f>SUM(119103/2865)</f>
        <v>41.571727748691103</v>
      </c>
      <c r="D28">
        <f>SUM(109207/2687)</f>
        <v>40.642724227763303</v>
      </c>
      <c r="E28">
        <f>SUM(67091/3002)</f>
        <v>22.348767488341107</v>
      </c>
    </row>
    <row r="29" spans="1:5" x14ac:dyDescent="0.25">
      <c r="A29" s="18">
        <f t="shared" si="1"/>
        <v>3.5000000000000004</v>
      </c>
      <c r="B29" s="1" t="s">
        <v>121</v>
      </c>
      <c r="C29">
        <f>SUM(122151/122495)</f>
        <v>0.99719172211110663</v>
      </c>
      <c r="D29">
        <f>SUM(104038/116731)</f>
        <v>0.89126281793182616</v>
      </c>
      <c r="E29">
        <f>SUM(80674/123071)</f>
        <v>0.65550779631269751</v>
      </c>
    </row>
    <row r="30" spans="1:5" x14ac:dyDescent="0.25">
      <c r="A30" s="18">
        <f t="shared" si="1"/>
        <v>3.6000000000000005</v>
      </c>
      <c r="B30" s="1" t="s">
        <v>122</v>
      </c>
      <c r="C30">
        <f>SUM(50213/50672)</f>
        <v>0.99094174297442372</v>
      </c>
      <c r="D30">
        <f>SUM(64598/63090)</f>
        <v>1.0239023617055001</v>
      </c>
      <c r="E30">
        <f>SUM(43898/65339)</f>
        <v>0.67184989057071576</v>
      </c>
    </row>
    <row r="31" spans="1:5" x14ac:dyDescent="0.25">
      <c r="A31" s="18"/>
      <c r="B31" s="3" t="s">
        <v>123</v>
      </c>
      <c r="C31">
        <v>50213</v>
      </c>
      <c r="D31">
        <v>64598</v>
      </c>
      <c r="E31">
        <v>43898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124</v>
      </c>
    </row>
    <row r="34" spans="1:5" x14ac:dyDescent="0.25">
      <c r="A34" s="18">
        <f>+A33+0.1</f>
        <v>4.0999999999999996</v>
      </c>
      <c r="B34" s="1" t="s">
        <v>125</v>
      </c>
      <c r="C34">
        <f>SUM(394328/352755)</f>
        <v>1.1178523337727317</v>
      </c>
      <c r="D34">
        <f>SUM(365817/351002)</f>
        <v>1.0422077367080529</v>
      </c>
      <c r="E34">
        <f>SUM(274515/323888)</f>
        <v>0.84756150274168851</v>
      </c>
    </row>
    <row r="35" spans="1:5" x14ac:dyDescent="0.25">
      <c r="A35" s="18">
        <f t="shared" ref="A35:A37" si="2">+A34+0.1</f>
        <v>4.1999999999999993</v>
      </c>
      <c r="B35" s="1" t="s">
        <v>126</v>
      </c>
      <c r="C35">
        <f>SUM(394328/26412.5)</f>
        <v>14.92959772834832</v>
      </c>
      <c r="D35">
        <f>SUM(365817/14177.5)</f>
        <v>25.802645036148828</v>
      </c>
      <c r="E35">
        <f>SUM(274515/14728.5)</f>
        <v>18.638354211223138</v>
      </c>
    </row>
    <row r="36" spans="1:5" x14ac:dyDescent="0.25">
      <c r="A36" s="18">
        <f t="shared" si="2"/>
        <v>4.2999999999999989</v>
      </c>
      <c r="B36" s="1" t="s">
        <v>127</v>
      </c>
      <c r="C36">
        <f>SUM(223546/3215)</f>
        <v>69.532192846034221</v>
      </c>
      <c r="D36">
        <f>SUM(212981/1969)</f>
        <v>108.16708989334688</v>
      </c>
      <c r="E36">
        <f>SUM(169559/1967)</f>
        <v>86.20183019827148</v>
      </c>
    </row>
    <row r="37" spans="1:5" x14ac:dyDescent="0.25">
      <c r="A37" s="18">
        <f t="shared" si="2"/>
        <v>4.3999999999999986</v>
      </c>
      <c r="B37" s="1" t="s">
        <v>128</v>
      </c>
      <c r="C37">
        <f>SUM(99803/352775)*100</f>
        <v>28.290836935723902</v>
      </c>
      <c r="D37">
        <f>SUM(94680/351002)*100</f>
        <v>26.974205275183614</v>
      </c>
      <c r="E37">
        <f>SUM(57411/323888)*100</f>
        <v>17.725571802598431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129</v>
      </c>
    </row>
    <row r="40" spans="1:5" x14ac:dyDescent="0.25">
      <c r="A40" s="18">
        <f>+A39+0.1</f>
        <v>5.0999999999999996</v>
      </c>
      <c r="B40" s="1" t="s">
        <v>130</v>
      </c>
      <c r="C40">
        <f>SUM(192.09/6.15)</f>
        <v>31.234146341463415</v>
      </c>
      <c r="D40">
        <f>SUM(191.8/5.67)</f>
        <v>33.827160493827165</v>
      </c>
      <c r="E40">
        <f>SUM(191.78/3.31)</f>
        <v>57.939577039274923</v>
      </c>
    </row>
    <row r="41" spans="1:5" x14ac:dyDescent="0.25">
      <c r="A41" s="18">
        <f t="shared" ref="A41:A44" si="3">+A40+0.1</f>
        <v>5.1999999999999993</v>
      </c>
      <c r="B41" s="3" t="s">
        <v>131</v>
      </c>
      <c r="C41">
        <v>6.15</v>
      </c>
      <c r="D41">
        <v>5.67</v>
      </c>
      <c r="E41">
        <v>3.31</v>
      </c>
    </row>
    <row r="42" spans="1:5" x14ac:dyDescent="0.25">
      <c r="A42" s="18">
        <f t="shared" si="3"/>
        <v>5.2999999999999989</v>
      </c>
      <c r="B42" s="1" t="s">
        <v>132</v>
      </c>
      <c r="C42">
        <f>SUM(2.94/50672)</f>
        <v>5.8020208399115879E-5</v>
      </c>
      <c r="D42">
        <f>SUM(2.93/63090)</f>
        <v>4.6441591377397374E-5</v>
      </c>
      <c r="E42">
        <f>SUM(2.94/65339)</f>
        <v>4.4996097277276973E-5</v>
      </c>
    </row>
    <row r="43" spans="1:5" x14ac:dyDescent="0.25">
      <c r="A43" s="18">
        <f t="shared" si="3"/>
        <v>5.3999999999999986</v>
      </c>
      <c r="B43" s="3" t="s">
        <v>133</v>
      </c>
      <c r="C43">
        <f>SUM(50672/64849)</f>
        <v>0.78138444694598219</v>
      </c>
      <c r="D43">
        <f>SUM(63090/57365)</f>
        <v>1.0997995293297307</v>
      </c>
      <c r="E43">
        <f>SUM(65339/50779)</f>
        <v>1.2867327044644439</v>
      </c>
    </row>
    <row r="44" spans="1:5" x14ac:dyDescent="0.25">
      <c r="A44" s="18">
        <f t="shared" si="3"/>
        <v>5.4999999999999982</v>
      </c>
      <c r="B44" s="1" t="s">
        <v>134</v>
      </c>
      <c r="C44">
        <f>SUM(6.15/0.23)</f>
        <v>26.739130434782609</v>
      </c>
      <c r="D44">
        <f>SUM(5.67/0.88)</f>
        <v>6.4431818181818183</v>
      </c>
      <c r="E44">
        <f>SUM(3.31/0.795)</f>
        <v>4.1635220125786159</v>
      </c>
    </row>
    <row r="45" spans="1:5" x14ac:dyDescent="0.25">
      <c r="A45" s="18"/>
      <c r="B45" s="3" t="s">
        <v>135</v>
      </c>
      <c r="C45">
        <v>0.23</v>
      </c>
      <c r="D45">
        <v>0.88</v>
      </c>
      <c r="E45">
        <v>0.79500000000000004</v>
      </c>
    </row>
    <row r="46" spans="1:5" x14ac:dyDescent="0.25">
      <c r="A46" s="18">
        <f>+A44+0.1</f>
        <v>5.5999999999999979</v>
      </c>
      <c r="B46" s="1" t="s">
        <v>136</v>
      </c>
      <c r="C46">
        <f>SUM(0.23/192.12)*100</f>
        <v>0.11971684363939206</v>
      </c>
      <c r="D46">
        <f>SUM(0.88/191.8)*100</f>
        <v>0.45881126173096975</v>
      </c>
      <c r="E46">
        <f>SUM(0.795/191.78)*100</f>
        <v>0.41453749087496089</v>
      </c>
    </row>
    <row r="47" spans="1:5" x14ac:dyDescent="0.25">
      <c r="A47" s="18">
        <f t="shared" ref="A47:A50" si="4">+A45+0.1</f>
        <v>0.1</v>
      </c>
      <c r="B47" s="1" t="s">
        <v>137</v>
      </c>
      <c r="C47">
        <f>SUM(99803/50672)</f>
        <v>1.9695887275023682</v>
      </c>
      <c r="D47">
        <f>SUM(94680/63090)</f>
        <v>1.5007132667617689</v>
      </c>
      <c r="E47">
        <f>SUM(57411/65339)</f>
        <v>0.87866358530127486</v>
      </c>
    </row>
    <row r="48" spans="1:5" x14ac:dyDescent="0.25">
      <c r="A48" s="18">
        <f t="shared" si="4"/>
        <v>5.6999999999999975</v>
      </c>
      <c r="B48" s="1" t="s">
        <v>138</v>
      </c>
      <c r="C48">
        <f>SUM(119103/198773)</f>
        <v>0.59919103701206899</v>
      </c>
      <c r="D48">
        <f>SUM(109207/225521)</f>
        <v>0.48424315252238148</v>
      </c>
      <c r="E48">
        <f>SUM(67091/218496)</f>
        <v>0.30705825278265964</v>
      </c>
    </row>
    <row r="49" spans="1:5" x14ac:dyDescent="0.25">
      <c r="A49" s="18">
        <f t="shared" si="4"/>
        <v>0.2</v>
      </c>
      <c r="B49" s="1" t="s">
        <v>128</v>
      </c>
      <c r="C49">
        <f>SUM(99803/352755)</f>
        <v>0.28292440929256851</v>
      </c>
      <c r="D49">
        <f>SUM(94680/351002)</f>
        <v>0.26974205275183616</v>
      </c>
      <c r="E49">
        <f>SUM(57411/323888)</f>
        <v>0.1772557180259843</v>
      </c>
    </row>
    <row r="50" spans="1:5" x14ac:dyDescent="0.25">
      <c r="A50" s="18">
        <f t="shared" si="4"/>
        <v>5.7999999999999972</v>
      </c>
      <c r="B50" s="1" t="s">
        <v>139</v>
      </c>
      <c r="C50">
        <f>SUM(110089.9/119103)</f>
        <v>0.92432516393373798</v>
      </c>
      <c r="D50">
        <f>SUM(158294.9/109207)</f>
        <v>1.4494940800498135</v>
      </c>
      <c r="E50">
        <f>SUM(E51/67091)</f>
        <v>1.0348174866971724</v>
      </c>
    </row>
    <row r="51" spans="1:5" x14ac:dyDescent="0.25">
      <c r="A51" s="18"/>
      <c r="B51" s="3" t="s">
        <v>140</v>
      </c>
      <c r="C51">
        <v>110089.9</v>
      </c>
      <c r="D51">
        <v>158294.9</v>
      </c>
      <c r="E51">
        <v>69426.94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Harbinder Shinjin</cp:lastModifiedBy>
  <dcterms:created xsi:type="dcterms:W3CDTF">2020-05-18T16:32:37Z</dcterms:created>
  <dcterms:modified xsi:type="dcterms:W3CDTF">2024-05-29T17:39:11Z</dcterms:modified>
</cp:coreProperties>
</file>