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udents.uce.ac.uk\filespace\mb20\bs\S20127743\QCP task 2\"/>
    </mc:Choice>
  </mc:AlternateContent>
  <xr:revisionPtr revIDLastSave="0" documentId="8_{8BDE7947-D00A-4250-A44B-166805DDAD8C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C12" i="3"/>
  <c r="D50" i="3"/>
  <c r="C50" i="3"/>
  <c r="D49" i="3"/>
  <c r="C49" i="3"/>
  <c r="D48" i="3"/>
  <c r="C48" i="3"/>
  <c r="D47" i="3"/>
  <c r="C47" i="3"/>
  <c r="D46" i="3"/>
  <c r="C46" i="3"/>
  <c r="D44" i="3"/>
  <c r="C44" i="3"/>
  <c r="D42" i="3"/>
  <c r="C42" i="3"/>
  <c r="D43" i="3"/>
  <c r="C43" i="3"/>
  <c r="D40" i="3"/>
  <c r="C40" i="3"/>
  <c r="D37" i="3"/>
  <c r="C37" i="3"/>
  <c r="D36" i="3"/>
  <c r="C36" i="3"/>
  <c r="D35" i="3"/>
  <c r="C35" i="3"/>
  <c r="D34" i="3"/>
  <c r="C34" i="3"/>
  <c r="D30" i="3"/>
  <c r="C30" i="3"/>
  <c r="D31" i="3"/>
  <c r="C31" i="3"/>
  <c r="D29" i="3"/>
  <c r="C29" i="3"/>
  <c r="D28" i="3"/>
  <c r="C28" i="3"/>
  <c r="D27" i="3"/>
  <c r="C27" i="3"/>
  <c r="D26" i="3"/>
  <c r="C26" i="3"/>
  <c r="D25" i="3"/>
  <c r="C25" i="3"/>
  <c r="D22" i="3"/>
  <c r="C22" i="3"/>
  <c r="C20" i="3"/>
  <c r="D20" i="3"/>
  <c r="D19" i="3"/>
  <c r="C19" i="3"/>
  <c r="C13" i="3"/>
  <c r="D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B66" i="2"/>
  <c r="B65" i="2"/>
  <c r="B53" i="2"/>
  <c r="B11" i="2"/>
  <c r="C65" i="2"/>
  <c r="C66" i="2" s="1"/>
  <c r="C53" i="2"/>
  <c r="C54" i="2" s="1"/>
  <c r="C11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<sst xmlns="http://schemas.openxmlformats.org/spreadsheetml/2006/main" count="172" uniqueCount="159">
  <si>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</si>
  <si>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</si>
  <si>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</si>
  <si>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</si>
  <si>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</si>
  <si>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</si>
  <si>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</si>
  <si>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</si>
  <si>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</si>
  <si>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</si>
  <si>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</si>
  <si>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</si>
  <si>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Amazon Inc.</t>
  </si>
  <si>
    <t>(In millions, except number of shares which are reflected in thousands and per share amounts)</t>
  </si>
  <si>
    <t>CONSOLIDATED STATEMENTS OF OPERATIONS</t>
  </si>
  <si>
    <t xml:space="preserve">Years ended 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</si>
  <si>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</si>
  <si>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</si>
  <si>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</si>
  <si>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</si>
  <si>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</si>
  <si>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</si>
  <si>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</si>
  <si>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</si>
  <si>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Fulfillment</t>
  </si>
  <si>
    <t>Technology and content</t>
  </si>
  <si>
    <t>Marketing</t>
  </si>
  <si>
    <t>General and administrative</t>
  </si>
  <si>
    <t>Other operating expense (income) net</t>
  </si>
  <si>
    <t>Total operating expenses</t>
  </si>
  <si>
    <t>Operating income</t>
  </si>
  <si>
    <t>Interest income</t>
  </si>
  <si>
    <t>Interest expense</t>
  </si>
  <si>
    <t>Other income/(expense), net</t>
  </si>
  <si>
    <t>Total non-operating income (expense)</t>
  </si>
  <si>
    <t>Income before provision for income taxes</t>
  </si>
  <si>
    <t>Provision for income taxes</t>
  </si>
  <si>
    <t>Equity-method investment activity, net of tax</t>
  </si>
  <si>
    <t>Net income (loss)</t>
  </si>
  <si>
    <t>Earnings per share:</t>
  </si>
  <si>
    <t>Basic</t>
  </si>
  <si>
    <t>Diluted</t>
  </si>
  <si>
    <t>Shares used in computing earnings per share:</t>
  </si>
  <si>
    <t>CONSOLIDATED BALANCE SHEETS</t>
  </si>
  <si>
    <t xml:space="preserve">As at 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</si>
  <si>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</si>
  <si>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</si>
  <si>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</si>
  <si>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</si>
  <si>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</si>
  <si>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</si>
  <si>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</si>
  <si>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</si>
  <si>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</si>
  <si>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</si>
  <si>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Operating leases</t>
  </si>
  <si>
    <t>Goodwill</t>
  </si>
  <si>
    <t>Other non current assets</t>
  </si>
  <si>
    <t>Total non current assets</t>
  </si>
  <si>
    <t>Total assets</t>
  </si>
  <si>
    <t>Current liabilities:</t>
  </si>
  <si>
    <t>Accounts payable</t>
  </si>
  <si>
    <t>Accured expenses and other</t>
  </si>
  <si>
    <t>Deferred revenue</t>
  </si>
  <si>
    <t>Total current liabilities</t>
  </si>
  <si>
    <t>Non current liabilities:</t>
  </si>
  <si>
    <t xml:space="preserve">Long term lease liabilities </t>
  </si>
  <si>
    <t>Long term debt</t>
  </si>
  <si>
    <t>Other long term liabilities</t>
  </si>
  <si>
    <t>Total non current liabilities</t>
  </si>
  <si>
    <t>Total liabilities</t>
  </si>
  <si>
    <t>Shareholders’ equity:</t>
  </si>
  <si>
    <t>Preferred stock, $0.01 par value</t>
  </si>
  <si>
    <t>Authorised shares-500</t>
  </si>
  <si>
    <t>Issued and outstanidng shares-none</t>
  </si>
  <si>
    <t>Common stock and additional paid in capital, $0.01 par value:</t>
  </si>
  <si>
    <t>Authorised shares-5000, 100000</t>
  </si>
  <si>
    <t xml:space="preserve">Issued shares- 527 and 509. 100000 authorised, 10644 and 10757 </t>
  </si>
  <si>
    <t xml:space="preserve">Outstanding shares-503 and 509, 10175 and 10242 </t>
  </si>
  <si>
    <t>Treasury stock, at cost</t>
  </si>
  <si>
    <t>Additional paid-in capital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</si>
  <si>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</si>
  <si>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</si>
  <si>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</si>
  <si>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</si>
  <si>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</si>
  <si>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</si>
  <si>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</si>
  <si>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</si>
  <si>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</si>
  <si>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</si>
  <si>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</si>
  <si>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</si>
  <si>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</si>
  <si>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</si>
  <si>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</si>
  <si>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</si>
  <si>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</si>
  <si>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</si>
  <si>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sales and maturities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</si>
  <si>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</si>
  <si>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</si>
  <si>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</si>
  <si>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</si>
  <si>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Proceeds from short term debt and other</t>
  </si>
  <si>
    <t>Repayments of short term debt and other</t>
  </si>
  <si>
    <t>Proceeds from long term debt</t>
  </si>
  <si>
    <t>Repayments of long term debt</t>
  </si>
  <si>
    <t>Principal repayments of finance leases</t>
  </si>
  <si>
    <t xml:space="preserve">Principal repayments of financing obligations </t>
  </si>
  <si>
    <t>Common stock repurchase</t>
  </si>
  <si>
    <t>Cash used in financing activities</t>
  </si>
  <si>
    <t>Foreign currency effect on cash, cash equivalents and restricted cash</t>
  </si>
  <si>
    <t>Increase/(Decrease) in cash, cash equivalents and restricted</t>
  </si>
  <si>
    <t>Cash, cash equivalents and restricted cash, ending balances</t>
  </si>
  <si>
    <t>Company Name</t>
  </si>
  <si>
    <t>Years ended ,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</si>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</sst>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165" fontId="0" fillId="0" borderId="4" xfId="1" applyNumberFormat="1" applyFont="1" applyBorder="1"/>
    <xf numFmtId="165" fontId="0" fillId="0" borderId="3" xfId="1" applyNumberFormat="1" applyFont="1" applyBorder="1"/>
    <xf numFmtId="165" fontId="0" fillId="0" borderId="1" xfId="1" applyNumberFormat="1" applyFont="1" applyBorder="1"/>
    <xf numFmtId="165" fontId="2" fillId="0" borderId="0" xfId="1" applyNumberFormat="1" applyFont="1" applyBorder="1"/>
    <xf numFmtId="165" fontId="0" fillId="0" borderId="0" xfId="1" applyNumberFormat="1" applyFont="1" applyBorder="1"/>
    <xf numFmtId="165" fontId="1" fillId="0" borderId="0" xfId="1" applyNumberFormat="1" applyFont="1" applyBorder="1"/>
    <xf numFmtId="165" fontId="2" fillId="0" borderId="3" xfId="1" applyNumberFormat="1" applyFont="1" applyBorder="1"/>
    <xf numFmtId="165" fontId="1" fillId="0" borderId="0" xfId="1" applyNumberFormat="1" applyFont="1"/>
    <xf numFmtId="0" fontId="9" fillId="0" borderId="3" xfId="0" applyFont="1" applyBorder="1"/>
    <xf numFmtId="0" fontId="8" fillId="0" borderId="1" xfId="0" applyFont="1" applyBorder="1"/>
    <xf numFmtId="165" fontId="1" fillId="0" borderId="1" xfId="1" applyNumberFormat="1" applyFont="1" applyBorder="1"/>
    <xf numFmtId="165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7" sqref="A17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1</v>
      </c>
    </row>
    <row r="4" spans="1:1" x14ac:dyDescent="0.25">
      <c r="A4" s="5" t="s">
        <v>2</v>
      </c>
    </row>
    <row r="5" spans="1:1" x14ac:dyDescent="0.25">
      <c r="A5" s="6" t="s">
        <v>3</v>
      </c>
    </row>
    <row r="7" spans="1:1" x14ac:dyDescent="0.25">
      <c r="A7" s="2" t="s">
        <v>4</v>
      </c>
    </row>
    <row r="8" spans="1:1" x14ac:dyDescent="0.25">
      <c r="A8" s="2" t="s">
        <v>5</v>
      </c>
    </row>
    <row r="9" spans="1:1" ht="30" x14ac:dyDescent="0.25">
      <c r="A9" s="2" t="s">
        <v>6</v>
      </c>
    </row>
    <row r="10" spans="1:1" x14ac:dyDescent="0.25">
      <c r="A10" s="2" t="s">
        <v>7</v>
      </c>
    </row>
    <row r="11" spans="1:1" x14ac:dyDescent="0.25">
      <c r="A11" s="2" t="s">
        <v>8</v>
      </c>
    </row>
    <row r="13" spans="1:1" x14ac:dyDescent="0.25">
      <c r="A13" s="4" t="s">
        <v>9</v>
      </c>
    </row>
    <row r="14" spans="1:1" x14ac:dyDescent="0.25">
      <c r="A14" s="2" t="s">
        <v>10</v>
      </c>
    </row>
    <row r="15" spans="1:1" x14ac:dyDescent="0.25">
      <c r="A15" s="2" t="s">
        <v>11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0"/>
  <sheetViews>
    <sheetView topLeftCell="A13" workbookViewId="0">
      <selection activeCell="B24" sqref="B24"/>
    </sheetView>
  </sheetViews>
  <sheetFormatPr defaultRowHeight="15" x14ac:dyDescent="0.25"/>
  <cols>
    <col min="1" max="1" width="60.7109375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7" t="s">
        <v>12</v>
      </c>
      <c r="B1" s="8" t="s">
        <v>13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44" t="s">
        <v>14</v>
      </c>
      <c r="B2" s="44"/>
      <c r="C2" s="44"/>
      <c r="D2" s="44"/>
    </row>
    <row r="3" spans="1:10" x14ac:dyDescent="0.25">
      <c r="B3" s="43" t="s">
        <v>15</v>
      </c>
      <c r="C3" s="43"/>
      <c r="D3" s="43"/>
    </row>
    <row r="4" spans="1:10" x14ac:dyDescent="0.25">
      <c r="B4" s="9">
        <v>2022</v>
      </c>
      <c r="C4" s="9">
        <v>2021</v>
      </c>
    </row>
    <row r="5" spans="1:10" x14ac:dyDescent="0.25">
      <c r="A5" s="22" t="s">
        <v>16</v>
      </c>
    </row>
    <row r="6" spans="1:10" x14ac:dyDescent="0.25">
      <c r="A6" s="23" t="s">
        <v>17</v>
      </c>
      <c r="B6" s="10">
        <v>242901</v>
      </c>
      <c r="C6" s="10">
        <v>241787</v>
      </c>
      <c r="D6" s="35"/>
    </row>
    <row r="7" spans="1:10" x14ac:dyDescent="0.25">
      <c r="A7" s="23" t="s">
        <v>18</v>
      </c>
      <c r="B7" s="10">
        <v>271082</v>
      </c>
      <c r="C7" s="10">
        <v>228035</v>
      </c>
      <c r="D7" s="35"/>
    </row>
    <row r="8" spans="1:10" x14ac:dyDescent="0.25">
      <c r="A8" s="24" t="s">
        <v>19</v>
      </c>
      <c r="B8" s="12">
        <v>513983</v>
      </c>
      <c r="C8" s="12">
        <v>469822</v>
      </c>
      <c r="D8" s="35"/>
    </row>
    <row r="9" spans="1:10" x14ac:dyDescent="0.25">
      <c r="A9" s="22" t="s">
        <v>20</v>
      </c>
      <c r="B9" s="10">
        <v>288831</v>
      </c>
      <c r="C9" s="10">
        <v>272344</v>
      </c>
      <c r="D9" s="35"/>
    </row>
    <row r="10" spans="1:10" x14ac:dyDescent="0.25">
      <c r="A10" s="24" t="s">
        <v>21</v>
      </c>
      <c r="B10" s="12">
        <v>288831</v>
      </c>
      <c r="C10" s="12">
        <v>272344</v>
      </c>
      <c r="D10" s="35"/>
    </row>
    <row r="11" spans="1:10" x14ac:dyDescent="0.25">
      <c r="A11" s="24" t="s">
        <v>22</v>
      </c>
      <c r="B11" s="12">
        <f>SUM(B8-B10)</f>
        <v>225152</v>
      </c>
      <c r="C11" s="12">
        <f>SUM(C8-C10)</f>
        <v>197478</v>
      </c>
      <c r="D11" s="35"/>
    </row>
    <row r="12" spans="1:10" x14ac:dyDescent="0.25">
      <c r="A12" s="22" t="s">
        <v>23</v>
      </c>
      <c r="B12" s="10"/>
      <c r="C12" s="10"/>
      <c r="D12" s="35"/>
    </row>
    <row r="13" spans="1:10" x14ac:dyDescent="0.25">
      <c r="A13" s="23" t="s">
        <v>24</v>
      </c>
      <c r="B13" s="10">
        <v>84299</v>
      </c>
      <c r="C13" s="10">
        <v>75111</v>
      </c>
      <c r="D13" s="35"/>
    </row>
    <row r="14" spans="1:10" x14ac:dyDescent="0.25">
      <c r="A14" s="23" t="s">
        <v>25</v>
      </c>
      <c r="B14" s="10">
        <v>73213</v>
      </c>
      <c r="C14" s="10">
        <v>56052</v>
      </c>
      <c r="D14" s="35"/>
    </row>
    <row r="15" spans="1:10" x14ac:dyDescent="0.25">
      <c r="A15" s="23" t="s">
        <v>26</v>
      </c>
      <c r="B15" s="10">
        <v>42238</v>
      </c>
      <c r="C15" s="10">
        <v>32551</v>
      </c>
      <c r="D15" s="35"/>
    </row>
    <row r="16" spans="1:10" x14ac:dyDescent="0.25">
      <c r="A16" s="23" t="s">
        <v>27</v>
      </c>
      <c r="B16" s="10">
        <v>11891</v>
      </c>
      <c r="C16" s="10">
        <v>8823</v>
      </c>
      <c r="D16" s="35"/>
    </row>
    <row r="17" spans="1:4" x14ac:dyDescent="0.25">
      <c r="A17" s="23" t="s">
        <v>28</v>
      </c>
      <c r="B17" s="10">
        <v>1263</v>
      </c>
      <c r="C17" s="10">
        <v>62</v>
      </c>
      <c r="D17" s="35"/>
    </row>
    <row r="18" spans="1:4" x14ac:dyDescent="0.25">
      <c r="A18" s="24" t="s">
        <v>29</v>
      </c>
      <c r="B18" s="12">
        <v>501735</v>
      </c>
      <c r="C18" s="12">
        <v>444943</v>
      </c>
      <c r="D18" s="35"/>
    </row>
    <row r="19" spans="1:4" s="11" customFormat="1" x14ac:dyDescent="0.25">
      <c r="A19" s="24" t="s">
        <v>30</v>
      </c>
      <c r="B19" s="12">
        <v>12248</v>
      </c>
      <c r="C19" s="12">
        <v>24879</v>
      </c>
      <c r="D19" s="35"/>
    </row>
    <row r="20" spans="1:4" s="9" customFormat="1" x14ac:dyDescent="0.25">
      <c r="A20" s="22" t="s">
        <v>31</v>
      </c>
      <c r="B20" s="35">
        <v>989</v>
      </c>
      <c r="C20" s="35">
        <v>448</v>
      </c>
      <c r="D20" s="35"/>
    </row>
    <row r="21" spans="1:4" s="9" customFormat="1" x14ac:dyDescent="0.25">
      <c r="A21" s="22" t="s">
        <v>32</v>
      </c>
      <c r="B21" s="35">
        <v>-2367</v>
      </c>
      <c r="C21" s="35">
        <v>-1809</v>
      </c>
      <c r="D21" s="35"/>
    </row>
    <row r="22" spans="1:4" x14ac:dyDescent="0.25">
      <c r="A22" s="22" t="s">
        <v>33</v>
      </c>
      <c r="B22" s="10">
        <v>-16806</v>
      </c>
      <c r="C22" s="37">
        <v>14633</v>
      </c>
      <c r="D22" s="35"/>
    </row>
    <row r="23" spans="1:4" x14ac:dyDescent="0.25">
      <c r="A23" s="38" t="s">
        <v>34</v>
      </c>
      <c r="B23" s="36">
        <v>-18184</v>
      </c>
      <c r="C23" s="36">
        <v>13272</v>
      </c>
      <c r="D23" s="35"/>
    </row>
    <row r="24" spans="1:4" x14ac:dyDescent="0.25">
      <c r="A24" s="39" t="s">
        <v>35</v>
      </c>
      <c r="B24" s="40">
        <v>-5936</v>
      </c>
      <c r="C24" s="40">
        <v>38151</v>
      </c>
      <c r="D24" s="35"/>
    </row>
    <row r="25" spans="1:4" x14ac:dyDescent="0.25">
      <c r="A25" s="22" t="s">
        <v>36</v>
      </c>
      <c r="B25" s="10">
        <v>3217</v>
      </c>
      <c r="C25" s="37">
        <v>-4791</v>
      </c>
      <c r="D25" s="35"/>
    </row>
    <row r="26" spans="1:4" x14ac:dyDescent="0.25">
      <c r="A26" s="22" t="s">
        <v>37</v>
      </c>
      <c r="B26" s="10">
        <v>-3</v>
      </c>
      <c r="C26" s="37">
        <v>4</v>
      </c>
      <c r="D26" s="35"/>
    </row>
    <row r="27" spans="1:4" ht="15.75" thickBot="1" x14ac:dyDescent="0.3">
      <c r="A27" s="25" t="s">
        <v>38</v>
      </c>
      <c r="B27" s="13">
        <v>-2722</v>
      </c>
      <c r="C27" s="13">
        <v>33364</v>
      </c>
      <c r="D27" s="35"/>
    </row>
    <row r="28" spans="1:4" ht="15.75" thickTop="1" x14ac:dyDescent="0.25">
      <c r="A28" s="22" t="s">
        <v>39</v>
      </c>
    </row>
    <row r="29" spans="1:4" x14ac:dyDescent="0.25">
      <c r="A29" s="23" t="s">
        <v>40</v>
      </c>
      <c r="B29" s="14">
        <v>-0.27</v>
      </c>
      <c r="C29" s="14">
        <v>3.3</v>
      </c>
      <c r="D29" s="14"/>
    </row>
    <row r="30" spans="1:4" x14ac:dyDescent="0.25">
      <c r="A30" s="23" t="s">
        <v>41</v>
      </c>
      <c r="B30" s="14">
        <v>-0.27</v>
      </c>
      <c r="C30" s="14">
        <v>3.24</v>
      </c>
      <c r="D30" s="14"/>
    </row>
    <row r="31" spans="1:4" x14ac:dyDescent="0.25">
      <c r="A31" s="22" t="s">
        <v>42</v>
      </c>
    </row>
    <row r="32" spans="1:4" x14ac:dyDescent="0.25">
      <c r="A32" s="23" t="s">
        <v>40</v>
      </c>
      <c r="B32" s="15">
        <v>10189</v>
      </c>
      <c r="C32" s="15">
        <v>10117</v>
      </c>
      <c r="D32" s="15"/>
    </row>
    <row r="33" spans="1:4" x14ac:dyDescent="0.25">
      <c r="A33" s="23" t="s">
        <v>41</v>
      </c>
      <c r="B33" s="15">
        <v>10189</v>
      </c>
      <c r="C33" s="15">
        <v>10296</v>
      </c>
      <c r="D33" s="15"/>
    </row>
    <row r="36" spans="1:4" x14ac:dyDescent="0.25">
      <c r="A36" s="44" t="s">
        <v>43</v>
      </c>
      <c r="B36" s="44"/>
      <c r="C36" s="44"/>
      <c r="D36" s="44"/>
    </row>
    <row r="37" spans="1:4" x14ac:dyDescent="0.25">
      <c r="B37" s="43" t="s">
        <v>44</v>
      </c>
      <c r="C37" s="43"/>
      <c r="D37" s="43"/>
    </row>
    <row r="38" spans="1:4" x14ac:dyDescent="0.25">
      <c r="B38" s="9">
        <v>2022</v>
      </c>
      <c r="C38" s="9">
        <v>2021</v>
      </c>
      <c r="D38" s="9"/>
    </row>
    <row r="40" spans="1:4" x14ac:dyDescent="0.25">
      <c r="A40" s="22" t="s">
        <v>45</v>
      </c>
    </row>
    <row r="41" spans="1:4" x14ac:dyDescent="0.25">
      <c r="A41" s="23" t="s">
        <v>46</v>
      </c>
      <c r="B41" s="10">
        <v>53888</v>
      </c>
      <c r="C41" s="10">
        <v>36220</v>
      </c>
      <c r="D41" s="34"/>
    </row>
    <row r="42" spans="1:4" x14ac:dyDescent="0.25">
      <c r="A42" s="23" t="s">
        <v>47</v>
      </c>
      <c r="B42" s="10">
        <v>16183</v>
      </c>
      <c r="C42" s="10">
        <v>59829</v>
      </c>
      <c r="D42" s="34"/>
    </row>
    <row r="43" spans="1:4" x14ac:dyDescent="0.25">
      <c r="A43" s="23" t="s">
        <v>48</v>
      </c>
      <c r="B43" s="10">
        <v>42360</v>
      </c>
      <c r="C43" s="10">
        <v>32891</v>
      </c>
      <c r="D43" s="34"/>
    </row>
    <row r="44" spans="1:4" x14ac:dyDescent="0.25">
      <c r="A44" s="23" t="s">
        <v>49</v>
      </c>
      <c r="B44" s="10">
        <v>34405</v>
      </c>
      <c r="C44" s="10">
        <v>32640</v>
      </c>
      <c r="D44" s="34"/>
    </row>
    <row r="45" spans="1:4" x14ac:dyDescent="0.25">
      <c r="A45" s="23" t="s">
        <v>50</v>
      </c>
      <c r="B45" s="10">
        <v>0</v>
      </c>
      <c r="C45" s="10">
        <v>0</v>
      </c>
      <c r="D45" s="34"/>
    </row>
    <row r="46" spans="1:4" x14ac:dyDescent="0.25">
      <c r="A46" s="23" t="s">
        <v>51</v>
      </c>
      <c r="B46" s="10">
        <v>0</v>
      </c>
      <c r="C46" s="10">
        <v>0</v>
      </c>
      <c r="D46" s="34"/>
    </row>
    <row r="47" spans="1:4" x14ac:dyDescent="0.25">
      <c r="A47" s="24" t="s">
        <v>52</v>
      </c>
      <c r="B47" s="12">
        <v>146791</v>
      </c>
      <c r="C47" s="12">
        <v>161580</v>
      </c>
      <c r="D47" s="33"/>
    </row>
    <row r="48" spans="1:4" x14ac:dyDescent="0.25">
      <c r="A48" s="22" t="s">
        <v>53</v>
      </c>
      <c r="B48" s="10"/>
      <c r="C48" s="10"/>
      <c r="D48" s="34"/>
    </row>
    <row r="49" spans="1:4" x14ac:dyDescent="0.25">
      <c r="A49" s="23" t="s">
        <v>54</v>
      </c>
      <c r="B49" s="10">
        <v>186715</v>
      </c>
      <c r="C49" s="10">
        <v>160281</v>
      </c>
      <c r="D49" s="34"/>
    </row>
    <row r="50" spans="1:4" x14ac:dyDescent="0.25">
      <c r="A50" s="23" t="s">
        <v>55</v>
      </c>
      <c r="B50" s="10">
        <v>66123</v>
      </c>
      <c r="C50" s="10">
        <v>56082</v>
      </c>
      <c r="D50" s="34"/>
    </row>
    <row r="51" spans="1:4" x14ac:dyDescent="0.25">
      <c r="A51" s="23" t="s">
        <v>56</v>
      </c>
      <c r="B51" s="10">
        <v>20288</v>
      </c>
      <c r="C51" s="10">
        <v>15371</v>
      </c>
      <c r="D51" s="34"/>
    </row>
    <row r="52" spans="1:4" x14ac:dyDescent="0.25">
      <c r="A52" s="23" t="s">
        <v>57</v>
      </c>
      <c r="B52" s="10">
        <v>42758</v>
      </c>
      <c r="C52" s="10">
        <v>27235</v>
      </c>
      <c r="D52" s="34"/>
    </row>
    <row r="53" spans="1:4" x14ac:dyDescent="0.25">
      <c r="A53" s="24" t="s">
        <v>58</v>
      </c>
      <c r="B53" s="12">
        <f>SUM(B49:B52)</f>
        <v>315884</v>
      </c>
      <c r="C53" s="12">
        <f>SUM(C49:C52)</f>
        <v>258969</v>
      </c>
      <c r="D53" s="33"/>
    </row>
    <row r="54" spans="1:4" ht="15.75" thickBot="1" x14ac:dyDescent="0.3">
      <c r="A54" s="25" t="s">
        <v>59</v>
      </c>
      <c r="B54" s="13">
        <v>462675</v>
      </c>
      <c r="C54" s="13">
        <f>SUM(C47+C53)</f>
        <v>420549</v>
      </c>
      <c r="D54" s="33"/>
    </row>
    <row r="55" spans="1:4" ht="15.75" thickTop="1" x14ac:dyDescent="0.25">
      <c r="A55" s="22"/>
    </row>
    <row r="56" spans="1:4" x14ac:dyDescent="0.25">
      <c r="A56" s="22" t="s">
        <v>60</v>
      </c>
    </row>
    <row r="57" spans="1:4" x14ac:dyDescent="0.25">
      <c r="A57" s="23" t="s">
        <v>61</v>
      </c>
      <c r="B57" s="10">
        <v>79600</v>
      </c>
      <c r="C57" s="10">
        <v>78664</v>
      </c>
      <c r="D57" s="34"/>
    </row>
    <row r="58" spans="1:4" x14ac:dyDescent="0.25">
      <c r="A58" s="23" t="s">
        <v>62</v>
      </c>
      <c r="B58" s="10">
        <v>62566</v>
      </c>
      <c r="C58" s="10">
        <v>51775</v>
      </c>
      <c r="D58" s="34"/>
    </row>
    <row r="59" spans="1:4" x14ac:dyDescent="0.25">
      <c r="A59" s="23" t="s">
        <v>63</v>
      </c>
      <c r="B59" s="10">
        <v>13227</v>
      </c>
      <c r="C59" s="10">
        <v>11827</v>
      </c>
      <c r="D59" s="34"/>
    </row>
    <row r="60" spans="1:4" x14ac:dyDescent="0.25">
      <c r="A60" s="24" t="s">
        <v>64</v>
      </c>
      <c r="B60" s="12">
        <v>155393</v>
      </c>
      <c r="C60" s="12">
        <v>142266</v>
      </c>
      <c r="D60" s="33"/>
    </row>
    <row r="61" spans="1:4" x14ac:dyDescent="0.25">
      <c r="A61" s="22" t="s">
        <v>65</v>
      </c>
      <c r="B61" s="10"/>
      <c r="C61" s="10"/>
      <c r="D61" s="34"/>
    </row>
    <row r="62" spans="1:4" x14ac:dyDescent="0.25">
      <c r="A62" s="23" t="s">
        <v>66</v>
      </c>
      <c r="B62" s="10">
        <v>72968</v>
      </c>
      <c r="C62" s="10">
        <v>67651</v>
      </c>
      <c r="D62" s="34"/>
    </row>
    <row r="63" spans="1:4" x14ac:dyDescent="0.25">
      <c r="A63" s="23" t="s">
        <v>67</v>
      </c>
      <c r="B63" s="10">
        <v>67150</v>
      </c>
      <c r="C63" s="10">
        <v>48744</v>
      </c>
      <c r="D63" s="34"/>
    </row>
    <row r="64" spans="1:4" x14ac:dyDescent="0.25">
      <c r="A64" s="23" t="s">
        <v>68</v>
      </c>
      <c r="B64" s="10">
        <v>21121</v>
      </c>
      <c r="C64" s="10">
        <v>23643</v>
      </c>
      <c r="D64" s="34"/>
    </row>
    <row r="65" spans="1:6" x14ac:dyDescent="0.25">
      <c r="A65" s="26" t="s">
        <v>69</v>
      </c>
      <c r="B65" s="36">
        <f>SUM(B62:B64)</f>
        <v>161239</v>
      </c>
      <c r="C65" s="36">
        <f>SUM(C62:C64)</f>
        <v>140038</v>
      </c>
      <c r="D65" s="34"/>
    </row>
    <row r="66" spans="1:6" x14ac:dyDescent="0.25">
      <c r="A66" s="24" t="s">
        <v>70</v>
      </c>
      <c r="B66" s="12">
        <f>SUM(B60+B65)</f>
        <v>316632</v>
      </c>
      <c r="C66" s="12">
        <f>SUM(C60,C65)</f>
        <v>282304</v>
      </c>
      <c r="D66" s="33"/>
    </row>
    <row r="67" spans="1:6" x14ac:dyDescent="0.25">
      <c r="B67" s="10"/>
      <c r="C67" s="10"/>
      <c r="D67" s="34"/>
    </row>
    <row r="68" spans="1:6" x14ac:dyDescent="0.25">
      <c r="A68" s="22" t="s">
        <v>71</v>
      </c>
      <c r="B68" s="10"/>
      <c r="C68" s="10"/>
      <c r="D68" s="34"/>
    </row>
    <row r="69" spans="1:6" x14ac:dyDescent="0.25">
      <c r="A69" s="22" t="s">
        <v>72</v>
      </c>
      <c r="B69" s="10">
        <v>0</v>
      </c>
      <c r="C69" s="10">
        <v>0</v>
      </c>
      <c r="D69" s="34"/>
    </row>
    <row r="70" spans="1:6" x14ac:dyDescent="0.25">
      <c r="A70" s="22" t="s">
        <v>73</v>
      </c>
      <c r="B70" s="10">
        <v>0</v>
      </c>
      <c r="C70" s="10">
        <v>0</v>
      </c>
      <c r="D70" s="34"/>
    </row>
    <row r="71" spans="1:6" x14ac:dyDescent="0.25">
      <c r="A71" s="22" t="s">
        <v>74</v>
      </c>
      <c r="B71" s="10">
        <v>0</v>
      </c>
      <c r="C71" s="10">
        <v>0</v>
      </c>
      <c r="D71" s="34"/>
    </row>
    <row r="72" spans="1:6" x14ac:dyDescent="0.25">
      <c r="A72" s="23" t="s">
        <v>75</v>
      </c>
      <c r="B72" s="10">
        <v>0</v>
      </c>
      <c r="C72" s="10">
        <v>0</v>
      </c>
      <c r="D72" s="34"/>
    </row>
    <row r="73" spans="1:6" x14ac:dyDescent="0.25">
      <c r="A73" s="23" t="s">
        <v>76</v>
      </c>
      <c r="B73" s="10">
        <v>0</v>
      </c>
      <c r="C73" s="10">
        <v>0</v>
      </c>
      <c r="D73" s="34"/>
    </row>
    <row r="74" spans="1:6" x14ac:dyDescent="0.25">
      <c r="A74" s="23" t="s">
        <v>77</v>
      </c>
      <c r="B74" s="10">
        <v>0</v>
      </c>
      <c r="C74" s="10">
        <v>0</v>
      </c>
      <c r="D74" s="34"/>
    </row>
    <row r="75" spans="1:6" x14ac:dyDescent="0.25">
      <c r="A75" s="23" t="s">
        <v>78</v>
      </c>
      <c r="B75" s="10">
        <v>108</v>
      </c>
      <c r="C75" s="10">
        <v>106</v>
      </c>
      <c r="D75" s="34"/>
    </row>
    <row r="76" spans="1:6" x14ac:dyDescent="0.25">
      <c r="A76" s="23" t="s">
        <v>79</v>
      </c>
      <c r="B76" s="10">
        <v>-1837</v>
      </c>
      <c r="C76" s="10">
        <v>-1837</v>
      </c>
      <c r="D76" s="10"/>
    </row>
    <row r="77" spans="1:6" x14ac:dyDescent="0.25">
      <c r="A77" s="23" t="s">
        <v>80</v>
      </c>
      <c r="B77" s="10">
        <v>75066</v>
      </c>
      <c r="C77" s="10">
        <v>55538</v>
      </c>
      <c r="D77" s="10"/>
    </row>
    <row r="78" spans="1:6" x14ac:dyDescent="0.25">
      <c r="A78" s="23" t="s">
        <v>81</v>
      </c>
      <c r="B78" s="10">
        <v>83193</v>
      </c>
      <c r="C78" s="10">
        <v>85915</v>
      </c>
      <c r="D78" s="10"/>
    </row>
    <row r="79" spans="1:6" x14ac:dyDescent="0.25">
      <c r="A79" s="23" t="s">
        <v>82</v>
      </c>
      <c r="B79" s="10">
        <v>-4487</v>
      </c>
      <c r="C79" s="10">
        <v>-1376</v>
      </c>
      <c r="D79" s="10"/>
    </row>
    <row r="80" spans="1:6" x14ac:dyDescent="0.25">
      <c r="A80" s="24" t="s">
        <v>83</v>
      </c>
      <c r="B80" s="12">
        <v>146043</v>
      </c>
      <c r="C80" s="12">
        <v>138245</v>
      </c>
      <c r="D80" s="35"/>
      <c r="F80" s="41"/>
    </row>
    <row r="81" spans="1:6" ht="15.75" thickBot="1" x14ac:dyDescent="0.3">
      <c r="A81" s="25" t="s">
        <v>84</v>
      </c>
      <c r="B81" s="13">
        <v>462675</v>
      </c>
      <c r="C81" s="13">
        <v>420549</v>
      </c>
      <c r="D81" s="35"/>
      <c r="F81" s="41"/>
    </row>
    <row r="82" spans="1:6" ht="15.75" thickTop="1" x14ac:dyDescent="0.25"/>
    <row r="83" spans="1:6" x14ac:dyDescent="0.25">
      <c r="A83" s="44" t="s">
        <v>85</v>
      </c>
      <c r="B83" s="44"/>
      <c r="C83" s="44"/>
      <c r="D83" s="44"/>
    </row>
    <row r="84" spans="1:6" x14ac:dyDescent="0.25">
      <c r="B84" s="43" t="s">
        <v>15</v>
      </c>
      <c r="C84" s="43"/>
      <c r="D84" s="43"/>
    </row>
    <row r="85" spans="1:6" x14ac:dyDescent="0.25">
      <c r="B85" s="9">
        <v>2022</v>
      </c>
      <c r="C85" s="9">
        <v>2021</v>
      </c>
      <c r="D85" s="9"/>
    </row>
    <row r="87" spans="1:6" x14ac:dyDescent="0.25">
      <c r="A87" s="27" t="s">
        <v>86</v>
      </c>
      <c r="B87" s="16"/>
      <c r="C87" s="16"/>
      <c r="D87" s="16"/>
    </row>
    <row r="88" spans="1:6" x14ac:dyDescent="0.25">
      <c r="A88" s="22" t="s">
        <v>87</v>
      </c>
      <c r="B88" s="10">
        <v>36477</v>
      </c>
      <c r="C88" s="10">
        <v>42377</v>
      </c>
      <c r="D88" s="10"/>
    </row>
    <row r="89" spans="1:6" x14ac:dyDescent="0.25">
      <c r="A89" s="28" t="s">
        <v>38</v>
      </c>
      <c r="B89" s="16">
        <v>-2722</v>
      </c>
      <c r="C89" s="16">
        <v>33364</v>
      </c>
      <c r="D89" s="16"/>
    </row>
    <row r="90" spans="1:6" x14ac:dyDescent="0.25">
      <c r="A90" s="23" t="s">
        <v>88</v>
      </c>
      <c r="B90" s="10"/>
      <c r="C90" s="10"/>
      <c r="D90" s="10"/>
    </row>
    <row r="91" spans="1:6" x14ac:dyDescent="0.25">
      <c r="A91" s="29" t="s">
        <v>89</v>
      </c>
      <c r="B91" s="10">
        <v>41921</v>
      </c>
      <c r="C91" s="10">
        <v>34296</v>
      </c>
      <c r="D91" s="10"/>
    </row>
    <row r="92" spans="1:6" x14ac:dyDescent="0.25">
      <c r="A92" s="29" t="s">
        <v>90</v>
      </c>
      <c r="B92" s="10">
        <v>19621</v>
      </c>
      <c r="C92" s="10">
        <v>12757</v>
      </c>
      <c r="D92" s="10"/>
    </row>
    <row r="93" spans="1:6" x14ac:dyDescent="0.25">
      <c r="A93" s="29" t="s">
        <v>91</v>
      </c>
      <c r="B93" s="10">
        <v>8148</v>
      </c>
      <c r="C93" s="10">
        <v>-310</v>
      </c>
      <c r="D93" s="10"/>
    </row>
    <row r="94" spans="1:6" x14ac:dyDescent="0.25">
      <c r="A94" s="29" t="s">
        <v>92</v>
      </c>
      <c r="B94" s="10">
        <v>16966</v>
      </c>
      <c r="C94" s="10">
        <v>-14169</v>
      </c>
      <c r="D94" s="10"/>
    </row>
    <row r="95" spans="1:6" x14ac:dyDescent="0.25">
      <c r="A95" s="22" t="s">
        <v>93</v>
      </c>
      <c r="B95" s="10"/>
      <c r="C95" s="10"/>
      <c r="D95" s="10"/>
    </row>
    <row r="96" spans="1:6" x14ac:dyDescent="0.25">
      <c r="A96" s="23" t="s">
        <v>48</v>
      </c>
      <c r="B96" s="10">
        <v>-21897</v>
      </c>
      <c r="C96" s="10">
        <v>-18163</v>
      </c>
      <c r="D96" s="10"/>
    </row>
    <row r="97" spans="1:4" x14ac:dyDescent="0.25">
      <c r="A97" s="23" t="s">
        <v>49</v>
      </c>
      <c r="B97" s="10">
        <v>-2592</v>
      </c>
      <c r="C97" s="10">
        <v>-9487</v>
      </c>
      <c r="D97" s="10"/>
    </row>
    <row r="98" spans="1:4" x14ac:dyDescent="0.25">
      <c r="A98" s="23" t="s">
        <v>50</v>
      </c>
      <c r="B98" s="10">
        <v>0</v>
      </c>
      <c r="C98" s="10">
        <v>0</v>
      </c>
      <c r="D98" s="10"/>
    </row>
    <row r="99" spans="1:4" x14ac:dyDescent="0.25">
      <c r="A99" s="23" t="s">
        <v>94</v>
      </c>
      <c r="B99" s="10">
        <v>0</v>
      </c>
      <c r="C99" s="10">
        <v>0</v>
      </c>
      <c r="D99" s="10"/>
    </row>
    <row r="100" spans="1:4" x14ac:dyDescent="0.25">
      <c r="A100" s="23" t="s">
        <v>61</v>
      </c>
      <c r="B100" s="10">
        <v>2945</v>
      </c>
      <c r="C100" s="10">
        <v>3602</v>
      </c>
      <c r="D100" s="10"/>
    </row>
    <row r="101" spans="1:4" x14ac:dyDescent="0.25">
      <c r="A101" s="23" t="s">
        <v>63</v>
      </c>
      <c r="B101" s="10">
        <v>2216</v>
      </c>
      <c r="C101" s="10">
        <v>2314</v>
      </c>
      <c r="D101" s="10"/>
    </row>
    <row r="102" spans="1:4" x14ac:dyDescent="0.25">
      <c r="A102" s="23" t="s">
        <v>95</v>
      </c>
      <c r="B102" s="10">
        <v>0</v>
      </c>
      <c r="C102" s="10">
        <v>0</v>
      </c>
      <c r="D102" s="34"/>
    </row>
    <row r="103" spans="1:4" x14ac:dyDescent="0.25">
      <c r="A103" s="24" t="s">
        <v>96</v>
      </c>
      <c r="B103" s="12">
        <v>46752</v>
      </c>
      <c r="C103" s="12">
        <v>46327</v>
      </c>
      <c r="D103" s="33"/>
    </row>
    <row r="104" spans="1:4" x14ac:dyDescent="0.25">
      <c r="A104" s="27" t="s">
        <v>97</v>
      </c>
      <c r="B104" s="10"/>
      <c r="C104" s="10"/>
      <c r="D104" s="34"/>
    </row>
    <row r="105" spans="1:4" x14ac:dyDescent="0.25">
      <c r="A105" s="23" t="s">
        <v>98</v>
      </c>
      <c r="B105" s="10">
        <v>-2565</v>
      </c>
      <c r="C105" s="10">
        <v>-60157</v>
      </c>
      <c r="D105" s="34"/>
    </row>
    <row r="106" spans="1:4" x14ac:dyDescent="0.25">
      <c r="A106" s="23" t="s">
        <v>99</v>
      </c>
      <c r="B106" s="10">
        <v>31601</v>
      </c>
      <c r="C106" s="10">
        <v>59384</v>
      </c>
      <c r="D106" s="34"/>
    </row>
    <row r="107" spans="1:4" x14ac:dyDescent="0.25">
      <c r="A107" s="23" t="s">
        <v>100</v>
      </c>
      <c r="B107" s="10">
        <v>-63645</v>
      </c>
      <c r="C107" s="10">
        <v>-61053</v>
      </c>
      <c r="D107" s="34"/>
    </row>
    <row r="108" spans="1:4" x14ac:dyDescent="0.25">
      <c r="A108" s="23" t="s">
        <v>101</v>
      </c>
      <c r="B108" s="10">
        <v>-8316</v>
      </c>
      <c r="C108" s="10">
        <v>-1985</v>
      </c>
      <c r="D108" s="34"/>
    </row>
    <row r="109" spans="1:4" x14ac:dyDescent="0.25">
      <c r="A109" s="23" t="s">
        <v>92</v>
      </c>
      <c r="B109" s="10">
        <v>0</v>
      </c>
      <c r="C109" s="10">
        <v>0</v>
      </c>
      <c r="D109" s="34"/>
    </row>
    <row r="110" spans="1:4" x14ac:dyDescent="0.25">
      <c r="A110" s="24" t="s">
        <v>102</v>
      </c>
      <c r="B110" s="32">
        <v>-37601</v>
      </c>
      <c r="C110" s="12">
        <v>-58154</v>
      </c>
      <c r="D110" s="34"/>
    </row>
    <row r="111" spans="1:4" x14ac:dyDescent="0.25">
      <c r="A111" s="27" t="s">
        <v>103</v>
      </c>
      <c r="B111" s="30"/>
      <c r="C111" s="30"/>
      <c r="D111" s="34"/>
    </row>
    <row r="112" spans="1:4" x14ac:dyDescent="0.25">
      <c r="A112" s="23" t="s">
        <v>104</v>
      </c>
      <c r="B112" s="35">
        <v>41533</v>
      </c>
      <c r="C112" s="35">
        <v>7956</v>
      </c>
      <c r="D112" s="33"/>
    </row>
    <row r="113" spans="1:4" x14ac:dyDescent="0.25">
      <c r="A113" s="23" t="s">
        <v>105</v>
      </c>
      <c r="B113" s="37">
        <v>-37554</v>
      </c>
      <c r="C113" s="10">
        <v>-7753</v>
      </c>
      <c r="D113" s="34"/>
    </row>
    <row r="114" spans="1:4" x14ac:dyDescent="0.25">
      <c r="A114" s="23" t="s">
        <v>106</v>
      </c>
      <c r="B114" s="37">
        <v>21166</v>
      </c>
      <c r="C114" s="10">
        <v>19003</v>
      </c>
      <c r="D114" s="34"/>
    </row>
    <row r="115" spans="1:4" x14ac:dyDescent="0.25">
      <c r="A115" s="23" t="s">
        <v>107</v>
      </c>
      <c r="B115" s="37">
        <v>-1258</v>
      </c>
      <c r="C115" s="10">
        <v>-1590</v>
      </c>
      <c r="D115" s="34"/>
    </row>
    <row r="116" spans="1:4" x14ac:dyDescent="0.25">
      <c r="A116" s="23" t="s">
        <v>108</v>
      </c>
      <c r="B116" s="37">
        <v>-7941</v>
      </c>
      <c r="C116" s="10">
        <v>-11163</v>
      </c>
      <c r="D116" s="34"/>
    </row>
    <row r="117" spans="1:4" x14ac:dyDescent="0.25">
      <c r="A117" s="23" t="s">
        <v>109</v>
      </c>
      <c r="B117" s="37">
        <v>-248</v>
      </c>
      <c r="C117" s="10">
        <v>-162</v>
      </c>
      <c r="D117" s="34"/>
    </row>
    <row r="118" spans="1:4" x14ac:dyDescent="0.25">
      <c r="A118" s="23" t="s">
        <v>110</v>
      </c>
      <c r="B118" s="37">
        <v>-6000</v>
      </c>
      <c r="C118" s="10">
        <v>0</v>
      </c>
      <c r="D118" s="34"/>
    </row>
    <row r="119" spans="1:4" x14ac:dyDescent="0.25">
      <c r="A119" s="23" t="s">
        <v>92</v>
      </c>
      <c r="B119" s="37">
        <v>0</v>
      </c>
      <c r="C119" s="10">
        <v>0</v>
      </c>
      <c r="D119" s="34"/>
    </row>
    <row r="120" spans="1:4" x14ac:dyDescent="0.25">
      <c r="A120" s="24" t="s">
        <v>111</v>
      </c>
      <c r="B120" s="36">
        <v>9718</v>
      </c>
      <c r="C120" s="36">
        <v>6291</v>
      </c>
      <c r="D120" s="34"/>
    </row>
    <row r="121" spans="1:4" x14ac:dyDescent="0.25">
      <c r="A121" s="24" t="s">
        <v>112</v>
      </c>
      <c r="B121" s="31">
        <v>-1093</v>
      </c>
      <c r="C121" s="31">
        <v>-364</v>
      </c>
      <c r="D121" s="34"/>
    </row>
    <row r="122" spans="1:4" x14ac:dyDescent="0.25">
      <c r="A122" s="24" t="s">
        <v>113</v>
      </c>
      <c r="B122" s="31">
        <v>17776</v>
      </c>
      <c r="C122" s="31">
        <v>-5900</v>
      </c>
      <c r="D122" s="34"/>
    </row>
    <row r="123" spans="1:4" ht="15.75" thickBot="1" x14ac:dyDescent="0.3">
      <c r="A123" s="25" t="s">
        <v>114</v>
      </c>
      <c r="B123" s="10">
        <v>54253</v>
      </c>
      <c r="C123" s="10">
        <v>36477</v>
      </c>
      <c r="D123" s="34"/>
    </row>
    <row r="124" spans="1:4" ht="15.75" thickTop="1" x14ac:dyDescent="0.25">
      <c r="A124" s="22"/>
      <c r="B124" s="12"/>
      <c r="C124" s="12"/>
      <c r="D124" s="33"/>
    </row>
    <row r="125" spans="1:4" x14ac:dyDescent="0.25">
      <c r="A125" s="22"/>
      <c r="B125" s="33"/>
      <c r="C125" s="33"/>
      <c r="D125" s="33"/>
    </row>
    <row r="126" spans="1:4" x14ac:dyDescent="0.25">
      <c r="A126" s="22"/>
      <c r="B126" s="33"/>
      <c r="C126" s="33"/>
      <c r="D126" s="33"/>
    </row>
    <row r="127" spans="1:4" x14ac:dyDescent="0.25">
      <c r="A127" s="22"/>
      <c r="B127" s="10"/>
      <c r="C127" s="10"/>
      <c r="D127" s="10"/>
    </row>
    <row r="128" spans="1:4" x14ac:dyDescent="0.25">
      <c r="B128" s="10"/>
      <c r="C128" s="10"/>
      <c r="D128" s="10"/>
    </row>
    <row r="129" spans="2:4" x14ac:dyDescent="0.25">
      <c r="B129" s="10"/>
      <c r="C129" s="10"/>
      <c r="D129" s="10"/>
    </row>
    <row r="130" spans="2:4" x14ac:dyDescent="0.25">
      <c r="B130" s="10"/>
      <c r="C130" s="10"/>
      <c r="D130" s="10"/>
    </row>
  </sheetData>
  <mergeCells count="6">
    <mergeCell ref="B84:D84"/>
    <mergeCell ref="A2:D2"/>
    <mergeCell ref="B3:D3"/>
    <mergeCell ref="A36:D36"/>
    <mergeCell ref="B37:D37"/>
    <mergeCell ref="A83:D8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D13" sqref="D13"/>
    </sheetView>
  </sheetViews>
  <sheetFormatPr defaultRowHeight="15" x14ac:dyDescent="0.25"/>
  <cols>
    <col min="1" max="1" width="4.7109375" customWidth="1"/>
    <col min="2" max="2" width="44.85546875" customWidth="1"/>
    <col min="3" max="4" width="12" bestFit="1" customWidth="1"/>
  </cols>
  <sheetData>
    <row r="1" spans="1:10" ht="60" customHeight="1" x14ac:dyDescent="0.4">
      <c r="A1" s="7"/>
      <c r="B1" s="18" t="s">
        <v>115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43" t="s">
        <v>116</v>
      </c>
      <c r="D2" s="43"/>
      <c r="E2" s="43"/>
    </row>
    <row r="3" spans="1:10" x14ac:dyDescent="0.25">
      <c r="C3" s="9">
        <v>2022</v>
      </c>
      <c r="D3" s="9">
        <v>2021</v>
      </c>
      <c r="E3" s="9"/>
    </row>
    <row r="4" spans="1:10" x14ac:dyDescent="0.25">
      <c r="A4" s="20">
        <v>1</v>
      </c>
      <c r="B4" s="9" t="s">
        <v>117</v>
      </c>
    </row>
    <row r="5" spans="1:10" x14ac:dyDescent="0.25">
      <c r="A5" s="20">
        <f>+A4+0.1</f>
        <v>1.1000000000000001</v>
      </c>
      <c r="B5" s="1" t="s">
        <v>118</v>
      </c>
      <c r="C5" s="42">
        <f>SUM(146791/151393)</f>
        <v>0.96960229336891401</v>
      </c>
      <c r="D5" s="42">
        <f>SUM(161580/142266)</f>
        <v>1.1357597739445826</v>
      </c>
    </row>
    <row r="6" spans="1:10" x14ac:dyDescent="0.25">
      <c r="A6" s="20">
        <f t="shared" ref="A6:A13" si="0">+A5+0.1</f>
        <v>1.2000000000000002</v>
      </c>
      <c r="B6" s="1" t="s">
        <v>119</v>
      </c>
      <c r="C6" s="42">
        <f>SUM(112386/155393)</f>
        <v>0.72323721145740161</v>
      </c>
      <c r="D6" s="42">
        <f>SUM(128940/142266)</f>
        <v>0.90633039517523517</v>
      </c>
    </row>
    <row r="7" spans="1:10" x14ac:dyDescent="0.25">
      <c r="A7" s="20">
        <f t="shared" si="0"/>
        <v>1.3000000000000003</v>
      </c>
      <c r="B7" s="1" t="s">
        <v>120</v>
      </c>
      <c r="C7" s="42">
        <f>SUM(53888/151393)</f>
        <v>0.35594776508821413</v>
      </c>
      <c r="D7" s="42">
        <f>SUM(36220/142266)</f>
        <v>0.25459350793583851</v>
      </c>
    </row>
    <row r="8" spans="1:10" x14ac:dyDescent="0.25">
      <c r="A8" s="20">
        <f t="shared" si="0"/>
        <v>1.4000000000000004</v>
      </c>
      <c r="B8" s="1" t="s">
        <v>121</v>
      </c>
      <c r="C8" s="42">
        <f>SUM(112431/1374.616)</f>
        <v>81.790841951497725</v>
      </c>
      <c r="D8" s="42">
        <f>SUM(128940/1219.022)</f>
        <v>105.77331664235757</v>
      </c>
    </row>
    <row r="9" spans="1:10" x14ac:dyDescent="0.25">
      <c r="A9" s="20">
        <f t="shared" si="0"/>
        <v>1.5000000000000004</v>
      </c>
      <c r="B9" s="1" t="s">
        <v>122</v>
      </c>
      <c r="C9" s="42">
        <f>SUM(31813/513983)*365</f>
        <v>22.591690775764956</v>
      </c>
      <c r="D9" s="42">
        <f>SUM(23153/469822)*365</f>
        <v>17.987333500772635</v>
      </c>
    </row>
    <row r="10" spans="1:10" x14ac:dyDescent="0.25">
      <c r="A10" s="20">
        <f t="shared" si="0"/>
        <v>1.6000000000000005</v>
      </c>
      <c r="B10" s="1" t="s">
        <v>123</v>
      </c>
      <c r="C10" s="42">
        <f>SUM(82545/288831)*365</f>
        <v>104.31333547991733</v>
      </c>
      <c r="D10" s="42">
        <f>SUM(82266/272344)*365</f>
        <v>110.25427400640366</v>
      </c>
    </row>
    <row r="11" spans="1:10" x14ac:dyDescent="0.25">
      <c r="A11" s="20">
        <f t="shared" si="0"/>
        <v>1.7000000000000006</v>
      </c>
      <c r="B11" s="1" t="s">
        <v>124</v>
      </c>
      <c r="C11" s="42">
        <f>SUM(20463/513983)*365</f>
        <v>14.531599294140078</v>
      </c>
      <c r="D11" s="42">
        <f>SUM(14728/469822)*365</f>
        <v>11.442035494293583</v>
      </c>
    </row>
    <row r="12" spans="1:10" x14ac:dyDescent="0.25">
      <c r="A12" s="20">
        <f t="shared" si="0"/>
        <v>1.8000000000000007</v>
      </c>
      <c r="B12" s="1" t="s">
        <v>125</v>
      </c>
      <c r="C12" s="42">
        <f>SUM(C9+C11-C10)</f>
        <v>-67.190045410012289</v>
      </c>
      <c r="D12" s="42">
        <f>SUM(D9+D11-D10)</f>
        <v>-80.824905011337449</v>
      </c>
    </row>
    <row r="13" spans="1:10" x14ac:dyDescent="0.25">
      <c r="A13" s="20">
        <f t="shared" si="0"/>
        <v>1.9000000000000008</v>
      </c>
      <c r="B13" s="1" t="s">
        <v>126</v>
      </c>
      <c r="C13" s="42">
        <f>SUM(-8602/225152)*100</f>
        <v>-3.8205301307561115</v>
      </c>
      <c r="D13" s="42">
        <f>SUM(19314/197478)*100</f>
        <v>9.7803299608057603</v>
      </c>
    </row>
    <row r="14" spans="1:10" x14ac:dyDescent="0.25">
      <c r="A14" s="20"/>
      <c r="B14" s="17" t="s">
        <v>127</v>
      </c>
      <c r="C14">
        <v>-8602</v>
      </c>
      <c r="D14">
        <v>19314</v>
      </c>
    </row>
    <row r="15" spans="1:10" x14ac:dyDescent="0.25">
      <c r="A15" s="20"/>
    </row>
    <row r="16" spans="1:10" x14ac:dyDescent="0.25">
      <c r="A16" s="20">
        <f>+A4+1</f>
        <v>2</v>
      </c>
      <c r="B16" s="21" t="s">
        <v>128</v>
      </c>
    </row>
    <row r="17" spans="1:4" x14ac:dyDescent="0.25">
      <c r="A17" s="20">
        <f>+A16+0.1</f>
        <v>2.1</v>
      </c>
      <c r="B17" s="1" t="s">
        <v>22</v>
      </c>
      <c r="C17">
        <v>225152</v>
      </c>
      <c r="D17">
        <v>197478</v>
      </c>
    </row>
    <row r="18" spans="1:4" x14ac:dyDescent="0.25">
      <c r="A18" s="20">
        <f>+A17+0.1</f>
        <v>2.2000000000000002</v>
      </c>
      <c r="B18" s="1" t="s">
        <v>129</v>
      </c>
      <c r="C18">
        <v>4.6399999999999997</v>
      </c>
      <c r="D18">
        <v>1.1299999999999999</v>
      </c>
    </row>
    <row r="19" spans="1:4" x14ac:dyDescent="0.25">
      <c r="A19" s="20"/>
      <c r="B19" s="17" t="s">
        <v>130</v>
      </c>
      <c r="C19" s="42">
        <f>SUM(12248/513983)</f>
        <v>2.3829581912242232E-2</v>
      </c>
      <c r="D19" s="42">
        <f>SUM(24879/469822)</f>
        <v>5.2954097509269465E-2</v>
      </c>
    </row>
    <row r="20" spans="1:4" x14ac:dyDescent="0.25">
      <c r="A20" s="20">
        <f>+A18+0.1</f>
        <v>2.3000000000000003</v>
      </c>
      <c r="B20" s="1" t="s">
        <v>131</v>
      </c>
      <c r="C20" s="42">
        <f>SUM(C21/513983)*100</f>
        <v>-1.1549020103777752</v>
      </c>
      <c r="D20" s="42">
        <f>SUM(D21/469822)*100</f>
        <v>8.1203093937704072</v>
      </c>
    </row>
    <row r="21" spans="1:4" x14ac:dyDescent="0.25">
      <c r="A21" s="20"/>
      <c r="B21" s="17" t="s">
        <v>132</v>
      </c>
      <c r="C21">
        <v>-5936</v>
      </c>
      <c r="D21">
        <v>38151</v>
      </c>
    </row>
    <row r="22" spans="1:4" x14ac:dyDescent="0.25">
      <c r="A22" s="20">
        <f>+A20+0.1</f>
        <v>2.4000000000000004</v>
      </c>
      <c r="B22" s="1" t="s">
        <v>133</v>
      </c>
      <c r="C22" s="42">
        <f>SUM(-2722/513983)*100</f>
        <v>-0.52958950004183014</v>
      </c>
      <c r="D22" s="42">
        <f>SUM(33364/469822)*100</f>
        <v>7.1014128755145567</v>
      </c>
    </row>
    <row r="23" spans="1:4" x14ac:dyDescent="0.25">
      <c r="A23" s="20"/>
    </row>
    <row r="24" spans="1:4" x14ac:dyDescent="0.25">
      <c r="A24" s="20">
        <f>+A16+1</f>
        <v>3</v>
      </c>
      <c r="B24" s="9" t="s">
        <v>134</v>
      </c>
    </row>
    <row r="25" spans="1:4" x14ac:dyDescent="0.25">
      <c r="A25" s="20">
        <f>+A24+0.1</f>
        <v>3.1</v>
      </c>
      <c r="B25" s="1" t="s">
        <v>135</v>
      </c>
      <c r="C25" s="42">
        <f>SUM(316632/146043)</f>
        <v>2.1680737864875415</v>
      </c>
      <c r="D25" s="42">
        <f>SUM(282304/138245)</f>
        <v>2.0420557705522802</v>
      </c>
    </row>
    <row r="26" spans="1:4" x14ac:dyDescent="0.25">
      <c r="A26" s="20">
        <f t="shared" ref="A26:A30" si="1">+A25+0.1</f>
        <v>3.2</v>
      </c>
      <c r="B26" s="1" t="s">
        <v>136</v>
      </c>
      <c r="C26" s="42">
        <f>SUM(316632/462675)</f>
        <v>0.68435078618900957</v>
      </c>
      <c r="D26" s="42">
        <f>SUM(282304/420549)</f>
        <v>0.67127492872412009</v>
      </c>
    </row>
    <row r="27" spans="1:4" x14ac:dyDescent="0.25">
      <c r="A27" s="20">
        <f t="shared" si="1"/>
        <v>3.3000000000000003</v>
      </c>
      <c r="B27" s="1" t="s">
        <v>137</v>
      </c>
      <c r="C27" s="42">
        <f>SUM(67150/213193)</f>
        <v>0.31497281805687805</v>
      </c>
      <c r="D27" s="42">
        <f>SUM(48744/186989)</f>
        <v>0.26067843562990334</v>
      </c>
    </row>
    <row r="28" spans="1:4" x14ac:dyDescent="0.25">
      <c r="A28" s="20">
        <f t="shared" si="1"/>
        <v>3.4000000000000004</v>
      </c>
      <c r="B28" s="1" t="s">
        <v>138</v>
      </c>
      <c r="C28" s="42">
        <f>SUM(-5936/-2367)</f>
        <v>2.5078158005914659</v>
      </c>
      <c r="D28" s="42">
        <f>SUM(38151/-1809)</f>
        <v>-21.089552238805972</v>
      </c>
    </row>
    <row r="29" spans="1:4" x14ac:dyDescent="0.25">
      <c r="A29" s="20">
        <f t="shared" si="1"/>
        <v>3.5000000000000004</v>
      </c>
      <c r="B29" s="1" t="s">
        <v>139</v>
      </c>
      <c r="C29" s="42">
        <f>SUM(46752/-10556)</f>
        <v>-4.4289503599848423</v>
      </c>
      <c r="D29" s="42">
        <f>SUM(46327/-13134)</f>
        <v>-3.5272574996193087</v>
      </c>
    </row>
    <row r="30" spans="1:4" x14ac:dyDescent="0.25">
      <c r="A30" s="20">
        <f t="shared" si="1"/>
        <v>3.6000000000000005</v>
      </c>
      <c r="B30" s="1" t="s">
        <v>140</v>
      </c>
      <c r="C30" s="42">
        <f>SUM(C31/1012)</f>
        <v>-94.36363636363636</v>
      </c>
      <c r="D30" s="42">
        <f>SUM(D31/20417)</f>
        <v>-1.0520154772983299</v>
      </c>
    </row>
    <row r="31" spans="1:4" x14ac:dyDescent="0.25">
      <c r="A31" s="20"/>
      <c r="B31" s="17" t="s">
        <v>141</v>
      </c>
      <c r="C31">
        <f>SUM(27574-123070)</f>
        <v>-95496</v>
      </c>
      <c r="D31">
        <f>SUM(77749-99228)</f>
        <v>-21479</v>
      </c>
    </row>
    <row r="32" spans="1:4" x14ac:dyDescent="0.25">
      <c r="A32" s="20"/>
    </row>
    <row r="33" spans="1:4" x14ac:dyDescent="0.25">
      <c r="A33" s="20">
        <f>+A24+1</f>
        <v>4</v>
      </c>
      <c r="B33" s="21" t="s">
        <v>142</v>
      </c>
    </row>
    <row r="34" spans="1:4" x14ac:dyDescent="0.25">
      <c r="A34" s="20">
        <f>+A33+0.1</f>
        <v>4.0999999999999996</v>
      </c>
      <c r="B34" s="1" t="s">
        <v>143</v>
      </c>
      <c r="C34" s="42">
        <f>SUM(513983/462675)</f>
        <v>1.1108942562273734</v>
      </c>
      <c r="D34" s="42">
        <f>SUM(469822/420549)</f>
        <v>1.1171635172120253</v>
      </c>
    </row>
    <row r="35" spans="1:4" x14ac:dyDescent="0.25">
      <c r="A35" s="20">
        <f t="shared" ref="A35:A37" si="2">+A34+0.1</f>
        <v>4.1999999999999993</v>
      </c>
      <c r="B35" s="1" t="s">
        <v>144</v>
      </c>
      <c r="C35" s="42">
        <f>SUM(513983/186715)</f>
        <v>2.7527675869640897</v>
      </c>
      <c r="D35" s="42">
        <f>SUM(469822/160281)</f>
        <v>2.9312395106094922</v>
      </c>
    </row>
    <row r="36" spans="1:4" x14ac:dyDescent="0.25">
      <c r="A36" s="20">
        <f t="shared" si="2"/>
        <v>4.2999999999999989</v>
      </c>
      <c r="B36" s="1" t="s">
        <v>145</v>
      </c>
      <c r="C36" s="42">
        <f>SUM(513983/15906.5)</f>
        <v>32.312765221764685</v>
      </c>
      <c r="D36" s="42">
        <f>SUM(469822/11576.5)</f>
        <v>40.584114369628125</v>
      </c>
    </row>
    <row r="37" spans="1:4" x14ac:dyDescent="0.25">
      <c r="A37" s="20">
        <f t="shared" si="2"/>
        <v>4.3999999999999986</v>
      </c>
      <c r="B37" s="1" t="s">
        <v>146</v>
      </c>
      <c r="C37" s="42">
        <f>SUM(-2722/462675)</f>
        <v>-5.8831793375479545E-3</v>
      </c>
      <c r="D37" s="42">
        <f>SUM(33364/420549)</f>
        <v>7.9334393851846041E-2</v>
      </c>
    </row>
    <row r="38" spans="1:4" x14ac:dyDescent="0.25">
      <c r="A38" s="20"/>
    </row>
    <row r="39" spans="1:4" x14ac:dyDescent="0.25">
      <c r="A39" s="20">
        <f>+A33+1</f>
        <v>5</v>
      </c>
      <c r="B39" s="21" t="s">
        <v>147</v>
      </c>
    </row>
    <row r="40" spans="1:4" x14ac:dyDescent="0.25">
      <c r="A40" s="20">
        <f>+A39+0.1</f>
        <v>5.0999999999999996</v>
      </c>
      <c r="B40" s="1" t="s">
        <v>148</v>
      </c>
      <c r="C40" s="42">
        <f>SUM(183.44/-0.27)</f>
        <v>-679.40740740740739</v>
      </c>
      <c r="D40" s="42">
        <f>SUM(183.44/3.3)</f>
        <v>55.587878787878793</v>
      </c>
    </row>
    <row r="41" spans="1:4" x14ac:dyDescent="0.25">
      <c r="A41" s="20">
        <f t="shared" ref="A41:A44" si="3">+A40+0.1</f>
        <v>5.1999999999999993</v>
      </c>
      <c r="B41" s="17" t="s">
        <v>149</v>
      </c>
      <c r="C41">
        <v>-0.27</v>
      </c>
      <c r="D41">
        <v>3.3</v>
      </c>
    </row>
    <row r="42" spans="1:4" x14ac:dyDescent="0.25">
      <c r="A42" s="20">
        <f t="shared" si="3"/>
        <v>5.2999999999999989</v>
      </c>
      <c r="B42" s="1" t="s">
        <v>150</v>
      </c>
      <c r="C42" s="42">
        <f>SUM(1.91/C43)</f>
        <v>1.3235280020268005E-2</v>
      </c>
      <c r="D42" s="42">
        <f>SUM(1.91/D43)</f>
        <v>2.9493067194331212E-2</v>
      </c>
    </row>
    <row r="43" spans="1:4" x14ac:dyDescent="0.25">
      <c r="A43" s="20">
        <f t="shared" si="3"/>
        <v>5.3999999999999986</v>
      </c>
      <c r="B43" s="17" t="s">
        <v>151</v>
      </c>
      <c r="C43" s="42">
        <f>SUM(146043/1012)</f>
        <v>144.31126482213438</v>
      </c>
      <c r="D43" s="42">
        <f>SUM(1387245/21421)</f>
        <v>64.760982213715508</v>
      </c>
    </row>
    <row r="44" spans="1:4" x14ac:dyDescent="0.25">
      <c r="A44" s="20">
        <f t="shared" si="3"/>
        <v>5.4999999999999982</v>
      </c>
      <c r="B44" s="1" t="s">
        <v>152</v>
      </c>
      <c r="C44">
        <f>SUM(C45/-2722)</f>
        <v>0</v>
      </c>
      <c r="D44">
        <f>SUM(0/33364)</f>
        <v>0</v>
      </c>
    </row>
    <row r="45" spans="1:4" x14ac:dyDescent="0.25">
      <c r="A45" s="20"/>
      <c r="B45" s="17" t="s">
        <v>153</v>
      </c>
      <c r="C45">
        <v>0</v>
      </c>
      <c r="D45">
        <v>0</v>
      </c>
    </row>
    <row r="46" spans="1:4" x14ac:dyDescent="0.25">
      <c r="A46" s="20">
        <f>+A44+0.1</f>
        <v>5.5999999999999979</v>
      </c>
      <c r="B46" s="1" t="s">
        <v>154</v>
      </c>
      <c r="C46">
        <f>SUM(0/183.44)</f>
        <v>0</v>
      </c>
      <c r="D46">
        <f>SUM(0/183.44)</f>
        <v>0</v>
      </c>
    </row>
    <row r="47" spans="1:4" x14ac:dyDescent="0.25">
      <c r="A47" s="20">
        <f t="shared" ref="A47:A50" si="4">+A45+0.1</f>
        <v>0.1</v>
      </c>
      <c r="B47" s="1" t="s">
        <v>155</v>
      </c>
      <c r="C47" s="42">
        <f>SUM(-2722/146043)</f>
        <v>-1.8638346240490815E-2</v>
      </c>
      <c r="D47" s="42">
        <f>SUM(33364/138245)</f>
        <v>0.2413396506202756</v>
      </c>
    </row>
    <row r="48" spans="1:4" x14ac:dyDescent="0.25">
      <c r="A48" s="20">
        <f t="shared" si="4"/>
        <v>5.6999999999999975</v>
      </c>
      <c r="B48" s="1" t="s">
        <v>156</v>
      </c>
      <c r="C48" s="42">
        <f>SUM(-5936/307282)</f>
        <v>-1.9317760233271065E-2</v>
      </c>
      <c r="D48" s="42">
        <f>SUM(38151/278283)</f>
        <v>0.13709425297269326</v>
      </c>
    </row>
    <row r="49" spans="1:4" x14ac:dyDescent="0.25">
      <c r="A49" s="20">
        <f t="shared" si="4"/>
        <v>0.2</v>
      </c>
      <c r="B49" s="1" t="s">
        <v>146</v>
      </c>
      <c r="C49" s="42">
        <f>SUM(-2722/462675)</f>
        <v>-5.8831793375479545E-3</v>
      </c>
      <c r="D49" s="42">
        <f>SUM(33364/420549)</f>
        <v>7.9334393851846041E-2</v>
      </c>
    </row>
    <row r="50" spans="1:4" x14ac:dyDescent="0.25">
      <c r="A50" s="20">
        <f t="shared" si="4"/>
        <v>5.7999999999999972</v>
      </c>
      <c r="B50" s="1" t="s">
        <v>157</v>
      </c>
      <c r="C50" s="42">
        <f>SUM(C51/-5936)</f>
        <v>8.9250505390835571</v>
      </c>
      <c r="D50" s="42">
        <f>SUM(D51/38151)</f>
        <v>-1.3619066341642421</v>
      </c>
    </row>
    <row r="51" spans="1:4" x14ac:dyDescent="0.25">
      <c r="A51" s="20"/>
      <c r="B51" s="17" t="s">
        <v>158</v>
      </c>
      <c r="C51">
        <v>-52979.1</v>
      </c>
      <c r="D51">
        <v>-51958.1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Harbinder Shinjin</cp:lastModifiedBy>
  <cp:revision/>
  <dcterms:created xsi:type="dcterms:W3CDTF">2020-05-19T16:15:53Z</dcterms:created>
  <dcterms:modified xsi:type="dcterms:W3CDTF">2024-06-10T18:03:13Z</dcterms:modified>
  <cp:category/>
  <cp:contentStatus/>
</cp:coreProperties>
</file>