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lucascooper/Desktop/"/>
    </mc:Choice>
  </mc:AlternateContent>
  <xr:revisionPtr revIDLastSave="0" documentId="13_ncr:1_{48DE6A5C-29F3-3947-B050-28B6F48944AA}" xr6:coauthVersionLast="47" xr6:coauthVersionMax="47" xr10:uidLastSave="{00000000-0000-0000-0000-000000000000}"/>
  <bookViews>
    <workbookView xWindow="0" yWindow="500" windowWidth="28800" windowHeight="1636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C50" i="3"/>
  <c r="C51" i="3"/>
  <c r="F51" i="3"/>
  <c r="C48" i="3"/>
  <c r="F48" i="3"/>
  <c r="C47" i="3"/>
  <c r="C43" i="3"/>
  <c r="C42" i="3"/>
  <c r="C40" i="3"/>
  <c r="D40" i="3"/>
  <c r="C41" i="3"/>
  <c r="D41" i="3"/>
  <c r="F26" i="3"/>
  <c r="C26" i="3" s="1"/>
  <c r="C28" i="3"/>
  <c r="C27" i="3"/>
  <c r="C25" i="3"/>
  <c r="C22" i="3"/>
  <c r="C20" i="3"/>
  <c r="C21" i="3"/>
  <c r="C29" i="3" s="1"/>
  <c r="C17" i="3"/>
  <c r="C19" i="3"/>
  <c r="C18" i="3"/>
  <c r="C14" i="3"/>
  <c r="C13" i="3" s="1"/>
  <c r="C10" i="3"/>
  <c r="C8" i="3"/>
  <c r="C7" i="3"/>
  <c r="C5" i="3"/>
  <c r="C6" i="3"/>
  <c r="G51" i="3"/>
  <c r="G49" i="3"/>
  <c r="D49" i="3" s="1"/>
  <c r="G48" i="3"/>
  <c r="D47" i="3"/>
  <c r="E41" i="3"/>
  <c r="E40" i="3" s="1"/>
  <c r="D43" i="3"/>
  <c r="D42" i="3"/>
  <c r="G37" i="3"/>
  <c r="D37" i="3" s="1"/>
  <c r="G36" i="3"/>
  <c r="D36" i="3" s="1"/>
  <c r="G35" i="3"/>
  <c r="D35" i="3" s="1"/>
  <c r="G34" i="3"/>
  <c r="D34" i="3"/>
  <c r="G26" i="3"/>
  <c r="G27" i="3" s="1"/>
  <c r="D31" i="3" s="1"/>
  <c r="D30" i="3" s="1"/>
  <c r="H29" i="3"/>
  <c r="H27" i="3" s="1"/>
  <c r="E31" i="3"/>
  <c r="E30" i="3" s="1"/>
  <c r="D27" i="3"/>
  <c r="D25" i="3"/>
  <c r="D22" i="3"/>
  <c r="D20" i="3"/>
  <c r="D21" i="3"/>
  <c r="D28" i="3" s="1"/>
  <c r="D19" i="3"/>
  <c r="D18" i="3" s="1"/>
  <c r="E19" i="3"/>
  <c r="D17" i="3"/>
  <c r="D14" i="3"/>
  <c r="D13" i="3" s="1"/>
  <c r="D11" i="3"/>
  <c r="D10" i="3"/>
  <c r="G9" i="3"/>
  <c r="D9" i="3" s="1"/>
  <c r="D12" i="3" s="1"/>
  <c r="H9" i="3"/>
  <c r="G8" i="3"/>
  <c r="D8" i="3" s="1"/>
  <c r="D7" i="3"/>
  <c r="G6" i="3"/>
  <c r="D6" i="3" s="1"/>
  <c r="H6" i="3"/>
  <c r="E6" i="3" s="1"/>
  <c r="D5" i="3"/>
  <c r="H11" i="3"/>
  <c r="E11" i="3" s="1"/>
  <c r="H51" i="3"/>
  <c r="E51" i="3" s="1"/>
  <c r="H48" i="3"/>
  <c r="E47" i="3"/>
  <c r="E43" i="3"/>
  <c r="E42" i="3" s="1"/>
  <c r="H34" i="3"/>
  <c r="E34" i="3" s="1"/>
  <c r="H35" i="3"/>
  <c r="E35" i="3" s="1"/>
  <c r="H36" i="3"/>
  <c r="E36" i="3" s="1"/>
  <c r="H37" i="3"/>
  <c r="E37" i="3" s="1"/>
  <c r="E25" i="3"/>
  <c r="E27" i="3"/>
  <c r="E26" i="3"/>
  <c r="E22" i="3"/>
  <c r="E21" i="3"/>
  <c r="E48" i="3" s="1"/>
  <c r="E20" i="3"/>
  <c r="E18" i="3"/>
  <c r="E14" i="3"/>
  <c r="E13" i="3" s="1"/>
  <c r="E17" i="3"/>
  <c r="H10" i="3"/>
  <c r="E10" i="3" s="1"/>
  <c r="E9" i="3"/>
  <c r="H8" i="3"/>
  <c r="E8" i="3" s="1"/>
  <c r="E7" i="3"/>
  <c r="E5" i="3"/>
  <c r="H49" i="3"/>
  <c r="E49" i="3" s="1"/>
  <c r="B17" i="2"/>
  <c r="D51" i="3" l="1"/>
  <c r="D50" i="3" s="1"/>
  <c r="G25" i="3"/>
  <c r="F16" i="3"/>
  <c r="C31" i="3" s="1"/>
  <c r="C30" i="3" s="1"/>
  <c r="E28" i="3"/>
  <c r="D26" i="3"/>
  <c r="E50" i="3"/>
  <c r="E12" i="3"/>
  <c r="E29" i="3"/>
  <c r="D29" i="3"/>
  <c r="D48" i="3"/>
  <c r="D54" i="2"/>
  <c r="D68" i="2"/>
  <c r="B54" i="2"/>
  <c r="C54" i="2"/>
  <c r="C68" i="2" l="1"/>
  <c r="B68" i="2"/>
  <c r="B69" i="2"/>
  <c r="B50" i="2"/>
  <c r="B44" i="2"/>
  <c r="B39" i="2"/>
  <c r="D69" i="2"/>
  <c r="C69" i="2"/>
  <c r="D44" i="2"/>
  <c r="C44" i="2"/>
  <c r="D50" i="2"/>
  <c r="C50" i="2"/>
  <c r="D39" i="2"/>
  <c r="C39" i="2"/>
  <c r="D25" i="2"/>
  <c r="C25" i="2"/>
  <c r="B25" i="2"/>
  <c r="B21" i="2"/>
  <c r="D16" i="2"/>
  <c r="C16" i="2"/>
  <c r="B16" i="2"/>
  <c r="D7" i="2"/>
  <c r="D17" i="2" s="1"/>
  <c r="C7" i="2"/>
  <c r="C17" i="2" s="1"/>
  <c r="B7" i="2"/>
  <c r="B113" i="2"/>
  <c r="D113" i="2"/>
  <c r="C113" i="2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<sst xmlns="http://schemas.openxmlformats.org/spreadsheetml/2006/main" count="166" uniqueCount="155">
  <si>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</si>
  <si>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</si>
  <si>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</si>
  <si>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</si>
  <si>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</si>
  <si>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</si>
  <si>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</si>
  <si>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</si>
  <si>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</si>
  <si>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</si>
  <si>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</si>
  <si>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</si>
  <si>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</si>
  <si>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</si>
  <si>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</si>
  <si>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</si>
  <si>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</si>
  <si>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</si>
  <si>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</si>
  <si>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</si>
  <si>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</si>
  <si>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</si>
  <si>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</si>
  <si>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</si>
  <si>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</si>
  <si>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</si>
  <si>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</si>
  <si>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</si>
  <si>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</si>
  <si>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</si>
  <si>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</si>
  <si>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</si>
  <si>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</si>
  <si>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</si>
  <si>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</si>
  <si>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</si>
  <si>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</si>
  <si>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</si>
  <si>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</si>
  <si>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</si>
  <si>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</si>
  <si>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</si>
  <si>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</si>
  <si>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</si>
  <si>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</si>
  <si>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</si>
  <si>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</si>
  <si>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</si>
  <si>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</si>
  <si>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</si>
  <si>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</si>
  <si>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</si>
  <si>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</si>
  <si>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</si>
  <si>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</si>
  <si>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</si>
  <si>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</si>
  <si>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</si>
  <si>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</si>
  <si>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</si>
  <si>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</si>
  <si>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</si>
  <si>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</si>
  <si>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</si>
  <si>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 xml:space="preserve">inventories </t>
  </si>
  <si>
    <t>operating acitivities:</t>
  </si>
  <si>
    <t>cash, cash equivalents, and restricted cash, beginning of period</t>
  </si>
  <si>
    <t>net income (loss)</t>
  </si>
  <si>
    <t>depreciation and amortization of property and equipment and capitalized content costs, operating lease assets, and other</t>
  </si>
  <si>
    <t>stock- based compensation</t>
  </si>
  <si>
    <t>other expense (income), net</t>
  </si>
  <si>
    <t>deferred income taxes</t>
  </si>
  <si>
    <t>changes in operating assets and liabiities:</t>
  </si>
  <si>
    <t>accounts recievable, net and other</t>
  </si>
  <si>
    <t>accounts payable</t>
  </si>
  <si>
    <t>accrued expenses and other</t>
  </si>
  <si>
    <t>unearned revenue</t>
  </si>
  <si>
    <t>net cash provided by (used in) operating activities</t>
  </si>
  <si>
    <t xml:space="preserve">purchase of property and equipment </t>
  </si>
  <si>
    <t>proceeds from property and equipment sales and incentives</t>
  </si>
  <si>
    <t>acquisitions, net of cash acquired, and other</t>
  </si>
  <si>
    <t>sales and maturities of marketable securities</t>
  </si>
  <si>
    <t>purchases of marketable securities</t>
  </si>
  <si>
    <t>common stock repurchased</t>
  </si>
  <si>
    <t>proceeds from short term debt, and other</t>
  </si>
  <si>
    <t>repayments of short term debt, and other</t>
  </si>
  <si>
    <t>proceeds from long term debt, and other</t>
  </si>
  <si>
    <t>repayments of long term debt</t>
  </si>
  <si>
    <t>principal repayements of financing leases</t>
  </si>
  <si>
    <t>principal repayments of financing obligations</t>
  </si>
  <si>
    <t>foreign currency effect on cash, cash equivalents, and restricted cash</t>
  </si>
  <si>
    <t>net increase (decrease) in cash, cash equivalents, and restricted cash</t>
  </si>
  <si>
    <t>Cash, cash equivalents and restricted cash, end of period</t>
  </si>
  <si>
    <t>total current assets</t>
  </si>
  <si>
    <t>total assets</t>
  </si>
  <si>
    <t>liabilities &amp; stockholder equity</t>
  </si>
  <si>
    <t>cash and cash equivalents</t>
  </si>
  <si>
    <t xml:space="preserve">marketable securities </t>
  </si>
  <si>
    <t>inventories</t>
  </si>
  <si>
    <t>property and equipment, net</t>
  </si>
  <si>
    <t>operating leases</t>
  </si>
  <si>
    <t>goodwill</t>
  </si>
  <si>
    <t>other assets</t>
  </si>
  <si>
    <t>total current liabilities</t>
  </si>
  <si>
    <t>long term lease liabilities</t>
  </si>
  <si>
    <t>long term debt</t>
  </si>
  <si>
    <t>other long term liabilities</t>
  </si>
  <si>
    <t>commitments and contingencies</t>
  </si>
  <si>
    <t>common stock</t>
  </si>
  <si>
    <t>treasury stock , at cost</t>
  </si>
  <si>
    <t xml:space="preserve">additional paid-in capital </t>
  </si>
  <si>
    <t>retained earnings</t>
  </si>
  <si>
    <t>total stockholders' equity</t>
  </si>
  <si>
    <t>total liabilities and stockholders' equity</t>
  </si>
  <si>
    <t>accumulated other comprehensive income (loss)</t>
  </si>
  <si>
    <t>current assets:</t>
  </si>
  <si>
    <t>current liabilities:</t>
  </si>
  <si>
    <t>authorized shares</t>
  </si>
  <si>
    <t>issued shares</t>
  </si>
  <si>
    <t>outstanding shares</t>
  </si>
  <si>
    <t>total operating expenses</t>
  </si>
  <si>
    <t>net product sales</t>
  </si>
  <si>
    <t>net service sales</t>
  </si>
  <si>
    <t>total net sales</t>
  </si>
  <si>
    <t>cost of sales</t>
  </si>
  <si>
    <t>fulfillment</t>
  </si>
  <si>
    <t>technology and content</t>
  </si>
  <si>
    <t xml:space="preserve">sales and marketing </t>
  </si>
  <si>
    <t>general and administrative</t>
  </si>
  <si>
    <t>other operating expense (income), net</t>
  </si>
  <si>
    <t>operating income</t>
  </si>
  <si>
    <t>interest income</t>
  </si>
  <si>
    <t>interest expense</t>
  </si>
  <si>
    <t>other income (expense),net</t>
  </si>
  <si>
    <t>total non-operating income (expense)</t>
  </si>
  <si>
    <t>income (loss) before income taxes</t>
  </si>
  <si>
    <t>benefit (provision) for income taxes</t>
  </si>
  <si>
    <t>basic earnings per share</t>
  </si>
  <si>
    <t>diluted earnings per share</t>
  </si>
  <si>
    <t>diluted</t>
  </si>
  <si>
    <t xml:space="preserve">basic </t>
  </si>
  <si>
    <t>equity-method investment activity, net of tax</t>
  </si>
  <si>
    <t>operating expenses:</t>
  </si>
  <si>
    <t>financing activities:</t>
  </si>
  <si>
    <t>investing activities:</t>
  </si>
  <si>
    <t>adjustments to reconcile net income (loss) to net cash from operating activities:</t>
  </si>
  <si>
    <t>weighted-average shares used in computation of earnings per share:</t>
  </si>
  <si>
    <t>total liabilities</t>
  </si>
  <si>
    <t xml:space="preserve">preferred stock </t>
  </si>
  <si>
    <t>assets for beginnng of 2020?</t>
  </si>
  <si>
    <t>net cash provided by (used in) investing activities</t>
  </si>
  <si>
    <t>assets for beginning of 2020?</t>
  </si>
  <si>
    <t>assets at beginning of 2020?</t>
  </si>
  <si>
    <t>extras</t>
  </si>
  <si>
    <t>doesn’t say anything about dividends?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</si>
</sst>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44" fontId="0" fillId="0" borderId="0" xfId="1" applyNumberFormat="1" applyFont="1"/>
    <xf numFmtId="44" fontId="0" fillId="0" borderId="0" xfId="0" applyNumberFormat="1"/>
    <xf numFmtId="44" fontId="2" fillId="0" borderId="0" xfId="1" applyNumberFormat="1" applyFont="1"/>
    <xf numFmtId="0" fontId="0" fillId="0" borderId="0" xfId="1" applyNumberFormat="1" applyFont="1"/>
    <xf numFmtId="0" fontId="0" fillId="0" borderId="1" xfId="0" applyBorder="1"/>
    <xf numFmtId="164" fontId="1" fillId="0" borderId="1" xfId="1" applyNumberFormat="1" applyFont="1" applyBorder="1"/>
    <xf numFmtId="0" fontId="2" fillId="0" borderId="0" xfId="0" applyFont="1" applyAlignment="1">
      <alignment horizontal="left" indent="2"/>
    </xf>
    <xf numFmtId="164" fontId="2" fillId="0" borderId="0" xfId="1" applyNumberFormat="1" applyFont="1" applyBorder="1"/>
    <xf numFmtId="164" fontId="1" fillId="0" borderId="0" xfId="1" applyNumberFormat="1" applyFont="1" applyBorder="1"/>
    <xf numFmtId="164" fontId="0" fillId="0" borderId="0" xfId="1" applyNumberFormat="1" applyFont="1" applyBorder="1"/>
    <xf numFmtId="164" fontId="2" fillId="0" borderId="4" xfId="1" applyNumberFormat="1" applyFont="1" applyBorder="1"/>
    <xf numFmtId="164" fontId="2" fillId="0" borderId="5" xfId="1" applyNumberFormat="1" applyFont="1" applyBorder="1"/>
    <xf numFmtId="164" fontId="2" fillId="0" borderId="6" xfId="1" applyNumberFormat="1" applyFont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0" fontId="2" fillId="0" borderId="9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2" fillId="0" borderId="6" xfId="0" applyFont="1" applyBorder="1"/>
    <xf numFmtId="0" fontId="2" fillId="0" borderId="6" xfId="0" applyFont="1" applyBorder="1" applyAlignment="1">
      <alignment horizontal="left" indent="1"/>
    </xf>
    <xf numFmtId="164" fontId="1" fillId="0" borderId="0" xfId="1" applyNumberFormat="1" applyFont="1" applyFill="1" applyBorder="1"/>
    <xf numFmtId="164" fontId="0" fillId="4" borderId="0" xfId="0" applyNumberFormat="1" applyFill="1"/>
    <xf numFmtId="164" fontId="0" fillId="0" borderId="0" xfId="0" applyNumberFormat="1"/>
    <xf numFmtId="164" fontId="2" fillId="4" borderId="7" xfId="0" applyNumberFormat="1" applyFont="1" applyFill="1" applyBorder="1"/>
    <xf numFmtId="164" fontId="2" fillId="4" borderId="8" xfId="0" applyNumberFormat="1" applyFont="1" applyFill="1" applyBorder="1"/>
    <xf numFmtId="2" fontId="0" fillId="0" borderId="0" xfId="0" applyNumberFormat="1"/>
    <xf numFmtId="39" fontId="0" fillId="0" borderId="0" xfId="0" applyNumberFormat="1"/>
    <xf numFmtId="0" fontId="2" fillId="0" borderId="3" xfId="0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2" fontId="8" fillId="0" borderId="0" xfId="0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3" t="s">
        <v>0</v>
      </c>
    </row>
    <row r="3" spans="1:1" ht="16" x14ac:dyDescent="0.2">
      <c r="A3" s="2" t="s">
        <v>63</v>
      </c>
    </row>
    <row r="4" spans="1:1" ht="16" x14ac:dyDescent="0.2">
      <c r="A4" s="5" t="s">
        <v>5</v>
      </c>
    </row>
    <row r="5" spans="1:1" ht="16" x14ac:dyDescent="0.2">
      <c r="A5" s="6" t="s">
        <v>1</v>
      </c>
    </row>
    <row r="7" spans="1:1" ht="16" x14ac:dyDescent="0.2">
      <c r="A7" s="2" t="s">
        <v>61</v>
      </c>
    </row>
    <row r="8" spans="1:1" ht="16" x14ac:dyDescent="0.2">
      <c r="A8" s="2" t="s">
        <v>62</v>
      </c>
    </row>
    <row r="9" spans="1:1" ht="16" x14ac:dyDescent="0.2">
      <c r="A9" s="2" t="s">
        <v>2</v>
      </c>
    </row>
    <row r="10" spans="1:1" ht="16" x14ac:dyDescent="0.2">
      <c r="A10" s="2" t="s">
        <v>6</v>
      </c>
    </row>
    <row r="11" spans="1:1" ht="16" x14ac:dyDescent="0.2">
      <c r="A11" s="2" t="s">
        <v>4</v>
      </c>
    </row>
    <row r="13" spans="1:1" ht="16" x14ac:dyDescent="0.2">
      <c r="A13" s="4" t="s">
        <v>3</v>
      </c>
    </row>
    <row r="14" spans="1:1" ht="16" x14ac:dyDescent="0.2">
      <c r="A14" s="2" t="s">
        <v>7</v>
      </c>
    </row>
    <row r="15" spans="1:1" ht="16" x14ac:dyDescent="0.2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topLeftCell="A26" workbookViewId="0">
      <selection activeCell="B38" sqref="B38"/>
    </sheetView>
  </sheetViews>
  <sheetFormatPr baseColWidth="10" defaultColWidth="8.83203125" defaultRowHeight="15" x14ac:dyDescent="0.2"/>
  <cols>
    <col min="1" max="1" width="95.33203125" customWidth="1"/>
    <col min="2" max="2" width="17.6640625" customWidth="1"/>
    <col min="3" max="3" width="11.5" bestFit="1" customWidth="1"/>
    <col min="4" max="4" width="11.6640625" bestFit="1" customWidth="1"/>
    <col min="5" max="5" width="17" customWidth="1"/>
  </cols>
  <sheetData>
    <row r="1" spans="1:10" ht="60" customHeight="1" x14ac:dyDescent="0.2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2">
      <c r="A2" s="52" t="s">
        <v>10</v>
      </c>
      <c r="B2" s="52"/>
      <c r="C2" s="52"/>
      <c r="D2" s="52"/>
    </row>
    <row r="3" spans="1:10" x14ac:dyDescent="0.2">
      <c r="B3" s="51" t="s">
        <v>57</v>
      </c>
      <c r="C3" s="51"/>
      <c r="D3" s="51"/>
    </row>
    <row r="4" spans="1:10" x14ac:dyDescent="0.2">
      <c r="B4" s="9">
        <v>2020</v>
      </c>
      <c r="C4" s="9">
        <v>2021</v>
      </c>
      <c r="D4" s="9">
        <v>2022</v>
      </c>
    </row>
    <row r="5" spans="1:10" x14ac:dyDescent="0.2">
      <c r="A5" t="s">
        <v>121</v>
      </c>
      <c r="B5">
        <v>215915</v>
      </c>
      <c r="C5">
        <v>241787</v>
      </c>
      <c r="D5">
        <v>242901</v>
      </c>
    </row>
    <row r="6" spans="1:10" x14ac:dyDescent="0.2">
      <c r="A6" s="1" t="s">
        <v>122</v>
      </c>
      <c r="B6" s="10">
        <v>170149</v>
      </c>
      <c r="C6" s="10">
        <v>228035</v>
      </c>
      <c r="D6" s="10">
        <v>271082</v>
      </c>
    </row>
    <row r="7" spans="1:10" x14ac:dyDescent="0.2">
      <c r="A7" s="39" t="s">
        <v>123</v>
      </c>
      <c r="B7" s="34">
        <f>SUM(B5:B6)</f>
        <v>386064</v>
      </c>
      <c r="C7" s="34">
        <f>SUM(C5:C6)</f>
        <v>469822</v>
      </c>
      <c r="D7" s="35">
        <f>SUM(D5:D6)</f>
        <v>513983</v>
      </c>
    </row>
    <row r="8" spans="1:10" x14ac:dyDescent="0.2">
      <c r="B8" s="28"/>
      <c r="C8" s="28"/>
      <c r="D8" s="28"/>
    </row>
    <row r="9" spans="1:10" x14ac:dyDescent="0.2">
      <c r="A9" s="11" t="s">
        <v>142</v>
      </c>
      <c r="B9" s="10"/>
      <c r="C9" s="10"/>
      <c r="D9" s="10"/>
    </row>
    <row r="10" spans="1:10" x14ac:dyDescent="0.2">
      <c r="A10" t="s">
        <v>124</v>
      </c>
      <c r="B10" s="29">
        <v>233307</v>
      </c>
      <c r="C10" s="29">
        <v>272344</v>
      </c>
      <c r="D10" s="29">
        <v>288831</v>
      </c>
    </row>
    <row r="11" spans="1:10" x14ac:dyDescent="0.2">
      <c r="A11" s="1" t="s">
        <v>125</v>
      </c>
      <c r="B11" s="29">
        <v>58517</v>
      </c>
      <c r="C11" s="29">
        <v>75111</v>
      </c>
      <c r="D11" s="29">
        <v>84299</v>
      </c>
    </row>
    <row r="12" spans="1:10" x14ac:dyDescent="0.2">
      <c r="A12" s="1" t="s">
        <v>126</v>
      </c>
      <c r="B12" s="29">
        <v>42740</v>
      </c>
      <c r="C12" s="29">
        <v>56052</v>
      </c>
      <c r="D12" s="29">
        <v>73213</v>
      </c>
    </row>
    <row r="13" spans="1:10" x14ac:dyDescent="0.2">
      <c r="A13" t="s">
        <v>127</v>
      </c>
      <c r="B13" s="29">
        <v>22008</v>
      </c>
      <c r="C13" s="29">
        <v>32551</v>
      </c>
      <c r="D13" s="29">
        <v>42238</v>
      </c>
    </row>
    <row r="14" spans="1:10" x14ac:dyDescent="0.2">
      <c r="A14" t="s">
        <v>128</v>
      </c>
      <c r="B14" s="29">
        <v>6668</v>
      </c>
      <c r="C14" s="29">
        <v>8823</v>
      </c>
      <c r="D14" s="29">
        <v>11891</v>
      </c>
    </row>
    <row r="15" spans="1:10" x14ac:dyDescent="0.2">
      <c r="A15" t="s">
        <v>129</v>
      </c>
      <c r="B15" s="29">
        <v>-75</v>
      </c>
      <c r="C15" s="29">
        <v>62</v>
      </c>
      <c r="D15" s="29">
        <v>1263</v>
      </c>
    </row>
    <row r="16" spans="1:10" x14ac:dyDescent="0.2">
      <c r="A16" s="36" t="s">
        <v>120</v>
      </c>
      <c r="B16" s="31">
        <f>SUM(B10:B15)</f>
        <v>363165</v>
      </c>
      <c r="C16" s="12">
        <f>SUM(C10:C15)</f>
        <v>444943</v>
      </c>
      <c r="D16" s="32">
        <f>SUM(D10:D15)</f>
        <v>501735</v>
      </c>
    </row>
    <row r="17" spans="1:4" x14ac:dyDescent="0.2">
      <c r="A17" s="37" t="s">
        <v>130</v>
      </c>
      <c r="B17" s="33">
        <f>SUM(B7-B16)</f>
        <v>22899</v>
      </c>
      <c r="C17" s="34">
        <f>SUM(C7-C16)</f>
        <v>24879</v>
      </c>
      <c r="D17" s="35">
        <f>SUM(D7-D16)</f>
        <v>12248</v>
      </c>
    </row>
    <row r="18" spans="1:4" s="11" customFormat="1" x14ac:dyDescent="0.2">
      <c r="A18" t="s">
        <v>131</v>
      </c>
      <c r="B18" s="29">
        <v>555</v>
      </c>
      <c r="C18" s="29">
        <v>448</v>
      </c>
      <c r="D18" s="29">
        <v>989</v>
      </c>
    </row>
    <row r="19" spans="1:4" x14ac:dyDescent="0.2">
      <c r="A19" t="s">
        <v>132</v>
      </c>
      <c r="B19" s="29">
        <v>-1647</v>
      </c>
      <c r="C19" s="29">
        <v>-1809</v>
      </c>
      <c r="D19" s="29">
        <v>-2367</v>
      </c>
    </row>
    <row r="20" spans="1:4" x14ac:dyDescent="0.2">
      <c r="A20" t="s">
        <v>133</v>
      </c>
      <c r="B20" s="29">
        <v>2371</v>
      </c>
      <c r="C20" s="29">
        <v>14633</v>
      </c>
      <c r="D20" s="29">
        <v>-16806</v>
      </c>
    </row>
    <row r="21" spans="1:4" x14ac:dyDescent="0.2">
      <c r="A21" s="38" t="s">
        <v>134</v>
      </c>
      <c r="B21" s="34">
        <f>SUM(B18:B20)</f>
        <v>1279</v>
      </c>
      <c r="C21" s="34">
        <v>13272</v>
      </c>
      <c r="D21" s="35">
        <v>-18184</v>
      </c>
    </row>
    <row r="22" spans="1:4" x14ac:dyDescent="0.2">
      <c r="A22" t="s">
        <v>135</v>
      </c>
      <c r="B22" s="28">
        <v>24178</v>
      </c>
      <c r="C22" s="28">
        <v>38151</v>
      </c>
      <c r="D22" s="28">
        <v>-5936</v>
      </c>
    </row>
    <row r="23" spans="1:4" x14ac:dyDescent="0.2">
      <c r="A23" t="s">
        <v>136</v>
      </c>
      <c r="B23" s="40">
        <v>-2863</v>
      </c>
      <c r="C23" s="40">
        <v>-4791</v>
      </c>
      <c r="D23" s="40">
        <v>3217</v>
      </c>
    </row>
    <row r="24" spans="1:4" x14ac:dyDescent="0.2">
      <c r="A24" t="s">
        <v>141</v>
      </c>
      <c r="B24" s="41">
        <v>16</v>
      </c>
      <c r="C24" s="41">
        <v>4</v>
      </c>
      <c r="D24" s="41">
        <v>-3</v>
      </c>
    </row>
    <row r="25" spans="1:4" x14ac:dyDescent="0.2">
      <c r="A25" s="39" t="s">
        <v>67</v>
      </c>
      <c r="B25" s="43">
        <f>SUM(B22:B24)</f>
        <v>21331</v>
      </c>
      <c r="C25" s="43">
        <f>SUM(C22:C24)</f>
        <v>33364</v>
      </c>
      <c r="D25" s="44">
        <f>SUM(D22:D24)</f>
        <v>-2722</v>
      </c>
    </row>
    <row r="26" spans="1:4" x14ac:dyDescent="0.2">
      <c r="A26" s="1" t="s">
        <v>137</v>
      </c>
      <c r="B26" s="45">
        <v>2.13</v>
      </c>
      <c r="C26" s="45">
        <v>3.3</v>
      </c>
      <c r="D26" s="46">
        <v>-0.27</v>
      </c>
    </row>
    <row r="27" spans="1:4" x14ac:dyDescent="0.2">
      <c r="A27" t="s">
        <v>138</v>
      </c>
      <c r="B27" s="45">
        <v>2.09</v>
      </c>
      <c r="C27" s="45">
        <v>3.24</v>
      </c>
      <c r="D27" s="46">
        <v>-0.27</v>
      </c>
    </row>
    <row r="28" spans="1:4" x14ac:dyDescent="0.2">
      <c r="A28" s="1" t="s">
        <v>146</v>
      </c>
      <c r="B28" s="42"/>
      <c r="C28" s="42"/>
      <c r="D28" s="42"/>
    </row>
    <row r="29" spans="1:4" x14ac:dyDescent="0.2">
      <c r="A29" s="1" t="s">
        <v>140</v>
      </c>
      <c r="B29" s="42">
        <v>10005</v>
      </c>
      <c r="C29" s="42">
        <v>10117</v>
      </c>
      <c r="D29" s="42">
        <v>10189</v>
      </c>
    </row>
    <row r="30" spans="1:4" x14ac:dyDescent="0.2">
      <c r="A30" s="1" t="s">
        <v>139</v>
      </c>
      <c r="B30" s="42">
        <v>10198</v>
      </c>
      <c r="C30" s="42">
        <v>10296</v>
      </c>
      <c r="D30" s="42">
        <v>10189</v>
      </c>
    </row>
    <row r="31" spans="1:4" x14ac:dyDescent="0.2">
      <c r="A31" s="52" t="s">
        <v>12</v>
      </c>
      <c r="B31" s="52"/>
      <c r="C31" s="52"/>
      <c r="D31" s="52"/>
    </row>
    <row r="32" spans="1:4" x14ac:dyDescent="0.2">
      <c r="B32" s="51" t="s">
        <v>58</v>
      </c>
      <c r="C32" s="51"/>
      <c r="D32" s="51"/>
    </row>
    <row r="33" spans="1:4" x14ac:dyDescent="0.2">
      <c r="B33" s="9">
        <v>2020</v>
      </c>
      <c r="C33" s="9">
        <v>2021</v>
      </c>
      <c r="D33" s="9">
        <v>2022</v>
      </c>
    </row>
    <row r="34" spans="1:4" x14ac:dyDescent="0.2">
      <c r="A34" t="s">
        <v>115</v>
      </c>
    </row>
    <row r="35" spans="1:4" x14ac:dyDescent="0.2">
      <c r="A35" t="s">
        <v>96</v>
      </c>
      <c r="B35">
        <v>42122</v>
      </c>
      <c r="C35">
        <v>36220</v>
      </c>
      <c r="D35">
        <v>53888</v>
      </c>
    </row>
    <row r="36" spans="1:4" x14ac:dyDescent="0.2">
      <c r="A36" s="1" t="s">
        <v>97</v>
      </c>
      <c r="B36" s="10">
        <v>42274</v>
      </c>
      <c r="C36">
        <v>59829</v>
      </c>
      <c r="D36">
        <v>16138</v>
      </c>
    </row>
    <row r="37" spans="1:4" x14ac:dyDescent="0.2">
      <c r="A37" s="1" t="s">
        <v>98</v>
      </c>
      <c r="B37" s="10">
        <v>23795</v>
      </c>
      <c r="C37" s="10">
        <v>32640</v>
      </c>
      <c r="D37" s="10">
        <v>34405</v>
      </c>
    </row>
    <row r="38" spans="1:4" x14ac:dyDescent="0.2">
      <c r="A38" s="1" t="s">
        <v>73</v>
      </c>
      <c r="B38" s="10">
        <v>24542</v>
      </c>
      <c r="C38" s="10">
        <v>32891</v>
      </c>
      <c r="D38" s="10">
        <v>42360</v>
      </c>
    </row>
    <row r="39" spans="1:4" x14ac:dyDescent="0.2">
      <c r="A39" s="38" t="s">
        <v>93</v>
      </c>
      <c r="B39" s="33">
        <f>SUM(B35:B38)</f>
        <v>132733</v>
      </c>
      <c r="C39" s="34">
        <f>SUM(C35:C38)</f>
        <v>161580</v>
      </c>
      <c r="D39" s="35">
        <f>SUM(D35:D38)</f>
        <v>146791</v>
      </c>
    </row>
    <row r="40" spans="1:4" x14ac:dyDescent="0.2">
      <c r="A40" t="s">
        <v>99</v>
      </c>
      <c r="B40" s="29">
        <v>113114</v>
      </c>
      <c r="C40" s="29">
        <v>160281</v>
      </c>
      <c r="D40" s="29">
        <v>186715</v>
      </c>
    </row>
    <row r="41" spans="1:4" x14ac:dyDescent="0.2">
      <c r="A41" s="1" t="s">
        <v>100</v>
      </c>
      <c r="B41" s="29">
        <v>37553</v>
      </c>
      <c r="C41" s="29">
        <v>56082</v>
      </c>
      <c r="D41" s="29">
        <v>66123</v>
      </c>
    </row>
    <row r="42" spans="1:4" x14ac:dyDescent="0.2">
      <c r="A42" s="1" t="s">
        <v>101</v>
      </c>
      <c r="B42" s="29">
        <v>15017</v>
      </c>
      <c r="C42" s="29">
        <v>15371</v>
      </c>
      <c r="D42" s="29">
        <v>20288</v>
      </c>
    </row>
    <row r="43" spans="1:4" x14ac:dyDescent="0.2">
      <c r="A43" s="1" t="s">
        <v>102</v>
      </c>
      <c r="B43" s="29">
        <v>22778</v>
      </c>
      <c r="C43" s="29">
        <v>27235</v>
      </c>
      <c r="D43" s="29">
        <v>42758</v>
      </c>
    </row>
    <row r="44" spans="1:4" x14ac:dyDescent="0.2">
      <c r="A44" s="38" t="s">
        <v>94</v>
      </c>
      <c r="B44" s="33">
        <f>SUM(B39:B43)</f>
        <v>321195</v>
      </c>
      <c r="C44" s="34">
        <f>SUM(C39:C43)</f>
        <v>420549</v>
      </c>
      <c r="D44" s="35">
        <f>SUM(D39:D43)</f>
        <v>462675</v>
      </c>
    </row>
    <row r="45" spans="1:4" ht="16" thickBot="1" x14ac:dyDescent="0.25">
      <c r="A45" s="13" t="s">
        <v>95</v>
      </c>
      <c r="B45" s="30"/>
      <c r="C45" s="30"/>
      <c r="D45" s="30"/>
    </row>
    <row r="46" spans="1:4" ht="16" thickTop="1" x14ac:dyDescent="0.2">
      <c r="A46" t="s">
        <v>116</v>
      </c>
      <c r="B46" s="28"/>
      <c r="C46" s="28"/>
      <c r="D46" s="28"/>
    </row>
    <row r="47" spans="1:4" x14ac:dyDescent="0.2">
      <c r="A47" t="s">
        <v>74</v>
      </c>
      <c r="B47" s="28">
        <v>72539</v>
      </c>
      <c r="C47" s="29">
        <v>78664</v>
      </c>
      <c r="D47" s="29">
        <v>79600</v>
      </c>
    </row>
    <row r="48" spans="1:4" x14ac:dyDescent="0.2">
      <c r="A48" s="1" t="s">
        <v>75</v>
      </c>
      <c r="B48">
        <v>44138</v>
      </c>
      <c r="C48">
        <v>51775</v>
      </c>
      <c r="D48">
        <v>62566</v>
      </c>
    </row>
    <row r="49" spans="1:4" x14ac:dyDescent="0.2">
      <c r="A49" s="1" t="s">
        <v>76</v>
      </c>
      <c r="B49">
        <v>9708</v>
      </c>
      <c r="C49">
        <v>11827</v>
      </c>
      <c r="D49">
        <v>13227</v>
      </c>
    </row>
    <row r="50" spans="1:4" x14ac:dyDescent="0.2">
      <c r="A50" s="47" t="s">
        <v>103</v>
      </c>
      <c r="B50" s="34">
        <f>SUM(B47:B49)</f>
        <v>126385</v>
      </c>
      <c r="C50" s="34">
        <f>SUM(C47:C49)</f>
        <v>142266</v>
      </c>
      <c r="D50" s="35">
        <f>SUM(D47:D49)</f>
        <v>155393</v>
      </c>
    </row>
    <row r="51" spans="1:4" x14ac:dyDescent="0.2">
      <c r="A51" t="s">
        <v>104</v>
      </c>
      <c r="B51" s="10">
        <v>52573</v>
      </c>
      <c r="C51" s="10">
        <v>67651</v>
      </c>
      <c r="D51" s="10">
        <v>72968</v>
      </c>
    </row>
    <row r="52" spans="1:4" x14ac:dyDescent="0.2">
      <c r="A52" s="1" t="s">
        <v>105</v>
      </c>
      <c r="B52" s="10">
        <v>31816</v>
      </c>
      <c r="C52" s="10">
        <v>48744</v>
      </c>
      <c r="D52" s="10">
        <v>67150</v>
      </c>
    </row>
    <row r="53" spans="1:4" x14ac:dyDescent="0.2">
      <c r="A53" s="1" t="s">
        <v>106</v>
      </c>
      <c r="B53" s="10">
        <v>17017</v>
      </c>
      <c r="C53" s="10">
        <v>23643</v>
      </c>
      <c r="D53" s="10">
        <v>21121</v>
      </c>
    </row>
    <row r="54" spans="1:4" x14ac:dyDescent="0.2">
      <c r="A54" s="37" t="s">
        <v>147</v>
      </c>
      <c r="B54" s="48">
        <f>SUM(B50:B53)</f>
        <v>227791</v>
      </c>
      <c r="C54" s="48">
        <f>SUM(C50:C53)</f>
        <v>282304</v>
      </c>
      <c r="D54" s="49">
        <f>SUM(D50:D53)</f>
        <v>316632</v>
      </c>
    </row>
    <row r="55" spans="1:4" x14ac:dyDescent="0.2">
      <c r="A55" t="s">
        <v>107</v>
      </c>
      <c r="B55" s="30"/>
      <c r="C55" s="30"/>
      <c r="D55" s="30"/>
    </row>
    <row r="56" spans="1:4" x14ac:dyDescent="0.2">
      <c r="A56" s="1" t="s">
        <v>148</v>
      </c>
      <c r="B56" s="28"/>
      <c r="C56" s="28"/>
      <c r="D56" s="28"/>
    </row>
    <row r="57" spans="1:4" x14ac:dyDescent="0.2">
      <c r="A57" s="1" t="s">
        <v>117</v>
      </c>
      <c r="B57" s="30">
        <v>500</v>
      </c>
      <c r="C57" s="30">
        <v>500</v>
      </c>
      <c r="D57" s="30"/>
    </row>
    <row r="58" spans="1:4" x14ac:dyDescent="0.2">
      <c r="A58" s="1" t="s">
        <v>118</v>
      </c>
      <c r="B58" s="10">
        <v>0</v>
      </c>
      <c r="C58" s="10">
        <v>0</v>
      </c>
      <c r="D58" s="10">
        <v>0</v>
      </c>
    </row>
    <row r="59" spans="1:4" x14ac:dyDescent="0.2">
      <c r="A59" s="1" t="s">
        <v>119</v>
      </c>
      <c r="B59" s="30">
        <v>0</v>
      </c>
      <c r="C59" s="30">
        <v>0</v>
      </c>
      <c r="D59" s="30">
        <v>0</v>
      </c>
    </row>
    <row r="60" spans="1:4" x14ac:dyDescent="0.2">
      <c r="A60" t="s">
        <v>108</v>
      </c>
      <c r="B60" s="30"/>
      <c r="C60" s="30">
        <v>106</v>
      </c>
      <c r="D60" s="30">
        <v>108</v>
      </c>
    </row>
    <row r="61" spans="1:4" x14ac:dyDescent="0.2">
      <c r="A61" s="1" t="s">
        <v>117</v>
      </c>
      <c r="B61" s="30">
        <v>5000</v>
      </c>
      <c r="C61" s="30">
        <v>100000</v>
      </c>
      <c r="D61" s="30">
        <v>100000</v>
      </c>
    </row>
    <row r="62" spans="1:4" x14ac:dyDescent="0.2">
      <c r="A62" s="1" t="s">
        <v>118</v>
      </c>
      <c r="B62" s="29">
        <v>527</v>
      </c>
      <c r="C62" s="29">
        <v>10644</v>
      </c>
      <c r="D62" s="29">
        <v>10757</v>
      </c>
    </row>
    <row r="63" spans="1:4" x14ac:dyDescent="0.2">
      <c r="A63" s="1" t="s">
        <v>119</v>
      </c>
      <c r="B63" s="30">
        <v>503</v>
      </c>
      <c r="C63" s="30">
        <v>10175</v>
      </c>
      <c r="D63" s="30">
        <v>10242</v>
      </c>
    </row>
    <row r="64" spans="1:4" x14ac:dyDescent="0.2">
      <c r="A64" s="1" t="s">
        <v>109</v>
      </c>
      <c r="B64" s="30">
        <v>-1837</v>
      </c>
      <c r="C64" s="10">
        <v>-1837</v>
      </c>
      <c r="D64" s="10">
        <v>-7837</v>
      </c>
    </row>
    <row r="65" spans="1:5" x14ac:dyDescent="0.2">
      <c r="A65" s="1" t="s">
        <v>110</v>
      </c>
      <c r="B65" s="10">
        <v>42865</v>
      </c>
      <c r="C65" s="10">
        <v>55437</v>
      </c>
      <c r="D65" s="10">
        <v>75066</v>
      </c>
    </row>
    <row r="66" spans="1:5" x14ac:dyDescent="0.2">
      <c r="A66" t="s">
        <v>114</v>
      </c>
      <c r="B66" s="10">
        <v>-180</v>
      </c>
      <c r="C66" s="10">
        <v>-1376</v>
      </c>
      <c r="D66" s="10">
        <v>-4487</v>
      </c>
    </row>
    <row r="67" spans="1:5" x14ac:dyDescent="0.2">
      <c r="A67" s="1" t="s">
        <v>111</v>
      </c>
      <c r="B67" s="29">
        <v>52551</v>
      </c>
      <c r="C67" s="29">
        <v>85915</v>
      </c>
      <c r="D67" s="29">
        <v>83193</v>
      </c>
    </row>
    <row r="68" spans="1:5" x14ac:dyDescent="0.2">
      <c r="A68" s="37" t="s">
        <v>112</v>
      </c>
      <c r="B68" s="34">
        <f>SUM(B63:B67)</f>
        <v>93902</v>
      </c>
      <c r="C68" s="34">
        <f>SUM(C60:C67)</f>
        <v>259064</v>
      </c>
      <c r="D68" s="35">
        <f>SUM(D64:D67)</f>
        <v>145935</v>
      </c>
    </row>
    <row r="69" spans="1:5" x14ac:dyDescent="0.2">
      <c r="A69" s="47" t="s">
        <v>113</v>
      </c>
      <c r="B69" s="34">
        <f>SUM(B44)</f>
        <v>321195</v>
      </c>
      <c r="C69" s="48">
        <f>SUM(C44)</f>
        <v>420549</v>
      </c>
      <c r="D69" s="49">
        <f>SUM(D44)</f>
        <v>462675</v>
      </c>
    </row>
    <row r="71" spans="1:5" x14ac:dyDescent="0.2">
      <c r="A71" s="52" t="s">
        <v>13</v>
      </c>
      <c r="B71" s="52"/>
      <c r="C71" s="52"/>
      <c r="D71" s="52"/>
    </row>
    <row r="72" spans="1:5" x14ac:dyDescent="0.2">
      <c r="B72" s="51" t="s">
        <v>57</v>
      </c>
      <c r="C72" s="51"/>
      <c r="D72" s="51"/>
    </row>
    <row r="73" spans="1:5" x14ac:dyDescent="0.2">
      <c r="B73" s="9">
        <v>2020</v>
      </c>
      <c r="C73" s="9">
        <v>2021</v>
      </c>
      <c r="D73" s="9">
        <v>2022</v>
      </c>
    </row>
    <row r="74" spans="1:5" x14ac:dyDescent="0.2">
      <c r="A74" t="s">
        <v>66</v>
      </c>
      <c r="B74" s="22">
        <v>36410</v>
      </c>
      <c r="C74" s="22">
        <v>42377</v>
      </c>
      <c r="D74" s="22">
        <v>36477</v>
      </c>
    </row>
    <row r="75" spans="1:5" x14ac:dyDescent="0.2">
      <c r="A75" s="9" t="s">
        <v>65</v>
      </c>
      <c r="B75" s="23"/>
      <c r="C75" s="23"/>
      <c r="D75" s="23"/>
    </row>
    <row r="76" spans="1:5" x14ac:dyDescent="0.2">
      <c r="A76" s="9" t="s">
        <v>67</v>
      </c>
      <c r="B76" s="21">
        <v>21331</v>
      </c>
      <c r="C76" s="21">
        <v>33364</v>
      </c>
      <c r="D76" s="21">
        <v>-2722</v>
      </c>
    </row>
    <row r="77" spans="1:5" x14ac:dyDescent="0.2">
      <c r="A77" s="15" t="s">
        <v>145</v>
      </c>
      <c r="B77" s="23"/>
      <c r="C77" s="23"/>
      <c r="D77" s="23"/>
    </row>
    <row r="78" spans="1:5" x14ac:dyDescent="0.2">
      <c r="A78" s="1" t="s">
        <v>68</v>
      </c>
      <c r="B78" s="21">
        <v>25180</v>
      </c>
      <c r="C78" s="21">
        <v>34433</v>
      </c>
      <c r="D78" s="21">
        <v>41921</v>
      </c>
    </row>
    <row r="79" spans="1:5" x14ac:dyDescent="0.2">
      <c r="A79" s="16" t="s">
        <v>69</v>
      </c>
      <c r="B79" s="21">
        <v>9208</v>
      </c>
      <c r="C79" s="21">
        <v>12757</v>
      </c>
      <c r="D79" s="21">
        <v>19621</v>
      </c>
      <c r="E79" s="21"/>
    </row>
    <row r="80" spans="1:5" x14ac:dyDescent="0.2">
      <c r="A80" s="16" t="s">
        <v>70</v>
      </c>
      <c r="B80" s="21">
        <v>-2582</v>
      </c>
      <c r="C80" s="21">
        <v>-14306</v>
      </c>
      <c r="D80" s="21">
        <v>16966</v>
      </c>
    </row>
    <row r="81" spans="1:5" x14ac:dyDescent="0.2">
      <c r="A81" s="16" t="s">
        <v>71</v>
      </c>
      <c r="B81" s="21">
        <v>-554</v>
      </c>
      <c r="C81" s="21">
        <v>-310</v>
      </c>
      <c r="D81" s="21">
        <v>-8148</v>
      </c>
    </row>
    <row r="82" spans="1:5" x14ac:dyDescent="0.2">
      <c r="B82" s="21"/>
      <c r="C82" s="21"/>
      <c r="D82" s="21"/>
    </row>
    <row r="83" spans="1:5" x14ac:dyDescent="0.2">
      <c r="B83" s="21"/>
      <c r="C83" s="21"/>
      <c r="D83" s="21"/>
    </row>
    <row r="84" spans="1:5" x14ac:dyDescent="0.2">
      <c r="A84" s="27" t="s">
        <v>72</v>
      </c>
      <c r="B84" s="21"/>
      <c r="C84" s="21"/>
      <c r="D84" s="21"/>
    </row>
    <row r="85" spans="1:5" x14ac:dyDescent="0.2">
      <c r="A85" s="16" t="s">
        <v>64</v>
      </c>
      <c r="B85" s="21">
        <v>-2849</v>
      </c>
      <c r="C85" s="21">
        <v>-9487</v>
      </c>
      <c r="D85" s="21">
        <v>-2592</v>
      </c>
    </row>
    <row r="86" spans="1:5" x14ac:dyDescent="0.2">
      <c r="A86" s="1" t="s">
        <v>73</v>
      </c>
      <c r="B86" s="21">
        <v>-8169</v>
      </c>
      <c r="C86" s="21">
        <v>-18163</v>
      </c>
      <c r="D86" s="21">
        <v>-21897</v>
      </c>
    </row>
    <row r="87" spans="1:5" x14ac:dyDescent="0.2">
      <c r="A87" s="1" t="s">
        <v>74</v>
      </c>
      <c r="B87" s="21">
        <v>17480</v>
      </c>
      <c r="C87" s="21">
        <v>3602</v>
      </c>
      <c r="D87" s="21">
        <v>2945</v>
      </c>
      <c r="E87" s="21"/>
    </row>
    <row r="88" spans="1:5" x14ac:dyDescent="0.2">
      <c r="A88" s="1" t="s">
        <v>75</v>
      </c>
      <c r="B88" s="21">
        <v>5754</v>
      </c>
      <c r="C88" s="21">
        <v>2123</v>
      </c>
      <c r="D88" s="21">
        <v>-1558</v>
      </c>
    </row>
    <row r="89" spans="1:5" x14ac:dyDescent="0.2">
      <c r="A89" s="1" t="s">
        <v>76</v>
      </c>
      <c r="B89" s="21">
        <v>1265</v>
      </c>
      <c r="C89" s="21">
        <v>2314</v>
      </c>
      <c r="D89" s="21">
        <v>2216</v>
      </c>
    </row>
    <row r="90" spans="1:5" x14ac:dyDescent="0.2">
      <c r="A90" s="1"/>
      <c r="B90" s="24"/>
      <c r="C90" s="24"/>
      <c r="D90" s="24"/>
    </row>
    <row r="91" spans="1:5" x14ac:dyDescent="0.2">
      <c r="A91" s="11" t="s">
        <v>77</v>
      </c>
      <c r="B91" s="12">
        <v>66064</v>
      </c>
      <c r="C91" s="12">
        <v>46327</v>
      </c>
      <c r="D91" s="12">
        <v>46752</v>
      </c>
    </row>
    <row r="92" spans="1:5" x14ac:dyDescent="0.2">
      <c r="B92" s="10"/>
      <c r="C92" s="10"/>
      <c r="D92" s="10"/>
    </row>
    <row r="93" spans="1:5" x14ac:dyDescent="0.2">
      <c r="B93" s="10"/>
      <c r="C93" s="10"/>
      <c r="D93" s="10"/>
    </row>
    <row r="94" spans="1:5" x14ac:dyDescent="0.2">
      <c r="A94" s="9" t="s">
        <v>144</v>
      </c>
      <c r="B94" s="10"/>
      <c r="C94" s="10"/>
      <c r="D94" s="10"/>
    </row>
    <row r="95" spans="1:5" x14ac:dyDescent="0.2">
      <c r="A95" s="1" t="s">
        <v>78</v>
      </c>
      <c r="B95" s="10">
        <v>-40140</v>
      </c>
      <c r="C95" s="10">
        <v>-61053</v>
      </c>
      <c r="D95" s="10">
        <v>-63645</v>
      </c>
    </row>
    <row r="96" spans="1:5" x14ac:dyDescent="0.2">
      <c r="A96" s="1" t="s">
        <v>79</v>
      </c>
      <c r="B96" s="10">
        <v>5096</v>
      </c>
      <c r="C96" s="10">
        <v>5657</v>
      </c>
      <c r="D96" s="10">
        <v>5324</v>
      </c>
    </row>
    <row r="97" spans="1:4" x14ac:dyDescent="0.2">
      <c r="A97" s="1" t="s">
        <v>80</v>
      </c>
      <c r="B97" s="10">
        <v>-2325</v>
      </c>
      <c r="C97" s="10">
        <v>-1985</v>
      </c>
      <c r="D97" s="10">
        <v>-8316</v>
      </c>
    </row>
    <row r="98" spans="1:4" x14ac:dyDescent="0.2">
      <c r="A98" s="1" t="s">
        <v>81</v>
      </c>
      <c r="B98" s="10">
        <v>50327</v>
      </c>
      <c r="C98" s="10">
        <v>59384</v>
      </c>
      <c r="D98" s="10">
        <v>31601</v>
      </c>
    </row>
    <row r="99" spans="1:4" x14ac:dyDescent="0.2">
      <c r="A99" s="1" t="s">
        <v>82</v>
      </c>
      <c r="B99" s="10">
        <v>-72479</v>
      </c>
      <c r="C99" s="10">
        <v>-60157</v>
      </c>
      <c r="D99" s="10">
        <v>-2565</v>
      </c>
    </row>
    <row r="100" spans="1:4" x14ac:dyDescent="0.2">
      <c r="A100" s="1"/>
      <c r="B100" s="10"/>
      <c r="C100" s="10"/>
      <c r="D100" s="10"/>
    </row>
    <row r="101" spans="1:4" x14ac:dyDescent="0.2">
      <c r="A101" s="11" t="s">
        <v>150</v>
      </c>
      <c r="B101" s="12">
        <v>-59611</v>
      </c>
      <c r="C101" s="12">
        <v>-58154</v>
      </c>
      <c r="D101" s="12">
        <v>-37601</v>
      </c>
    </row>
    <row r="102" spans="1:4" x14ac:dyDescent="0.2">
      <c r="A102" s="9" t="s">
        <v>143</v>
      </c>
      <c r="B102" s="10"/>
      <c r="C102" s="10"/>
      <c r="D102" s="10"/>
    </row>
    <row r="103" spans="1:4" x14ac:dyDescent="0.2">
      <c r="A103" s="1" t="s">
        <v>83</v>
      </c>
      <c r="B103" s="10"/>
      <c r="C103" s="10"/>
      <c r="D103" s="10">
        <v>-6000</v>
      </c>
    </row>
    <row r="104" spans="1:4" x14ac:dyDescent="0.2">
      <c r="A104" s="1" t="s">
        <v>84</v>
      </c>
      <c r="B104" s="10">
        <v>6796</v>
      </c>
      <c r="C104" s="10">
        <v>7956</v>
      </c>
      <c r="D104" s="10">
        <v>41553</v>
      </c>
    </row>
    <row r="105" spans="1:4" x14ac:dyDescent="0.2">
      <c r="A105" s="1" t="s">
        <v>85</v>
      </c>
      <c r="B105" s="10">
        <v>-6177</v>
      </c>
      <c r="C105" s="10">
        <v>-7753</v>
      </c>
      <c r="D105" s="10">
        <v>-37554</v>
      </c>
    </row>
    <row r="106" spans="1:4" x14ac:dyDescent="0.2">
      <c r="A106" s="1" t="s">
        <v>86</v>
      </c>
      <c r="B106" s="10">
        <v>10525</v>
      </c>
      <c r="C106" s="10">
        <v>19003</v>
      </c>
      <c r="D106" s="10">
        <v>21166</v>
      </c>
    </row>
    <row r="107" spans="1:4" x14ac:dyDescent="0.2">
      <c r="A107" s="1" t="s">
        <v>87</v>
      </c>
      <c r="B107" s="10">
        <v>-1553</v>
      </c>
      <c r="C107" s="10">
        <v>-1590</v>
      </c>
      <c r="D107" s="10">
        <v>-1258</v>
      </c>
    </row>
    <row r="108" spans="1:4" x14ac:dyDescent="0.2">
      <c r="A108" s="1" t="s">
        <v>88</v>
      </c>
      <c r="B108" s="10">
        <v>-10642</v>
      </c>
      <c r="C108" s="10">
        <v>-11163</v>
      </c>
      <c r="D108" s="10">
        <v>-7941</v>
      </c>
    </row>
    <row r="109" spans="1:4" x14ac:dyDescent="0.2">
      <c r="A109" s="1" t="s">
        <v>89</v>
      </c>
      <c r="B109" s="10">
        <v>-53</v>
      </c>
      <c r="C109" s="10">
        <v>-162</v>
      </c>
      <c r="D109" s="10">
        <v>-248</v>
      </c>
    </row>
    <row r="110" spans="1:4" x14ac:dyDescent="0.2">
      <c r="A110" s="15" t="s">
        <v>150</v>
      </c>
      <c r="B110" s="10">
        <v>-1104</v>
      </c>
      <c r="C110" s="10">
        <v>6291</v>
      </c>
      <c r="D110" s="10">
        <v>9718</v>
      </c>
    </row>
    <row r="111" spans="1:4" x14ac:dyDescent="0.2">
      <c r="A111" s="25" t="s">
        <v>90</v>
      </c>
      <c r="B111" s="26">
        <v>618</v>
      </c>
      <c r="C111" s="26">
        <v>-364</v>
      </c>
      <c r="D111" s="26">
        <v>-1093</v>
      </c>
    </row>
    <row r="112" spans="1:4" x14ac:dyDescent="0.2">
      <c r="A112" s="11" t="s">
        <v>91</v>
      </c>
      <c r="B112" s="12">
        <v>5967</v>
      </c>
      <c r="C112" s="12">
        <v>-5900</v>
      </c>
      <c r="D112" s="12">
        <v>17776</v>
      </c>
    </row>
    <row r="113" spans="1:4" ht="16" thickBot="1" x14ac:dyDescent="0.25">
      <c r="A113" s="13" t="s">
        <v>92</v>
      </c>
      <c r="B113" s="14">
        <f>SUM(B74+B112)</f>
        <v>42377</v>
      </c>
      <c r="C113" s="14">
        <f>SUM(C74+C112)</f>
        <v>36477</v>
      </c>
      <c r="D113" s="14">
        <f>SUM(D74+D112)</f>
        <v>54253</v>
      </c>
    </row>
    <row r="114" spans="1:4" ht="16" thickTop="1" x14ac:dyDescent="0.2">
      <c r="B114" s="10"/>
      <c r="C114" s="10"/>
      <c r="D114" s="10"/>
    </row>
    <row r="115" spans="1:4" x14ac:dyDescent="0.2">
      <c r="B115" s="10"/>
      <c r="C115" s="10"/>
      <c r="D115" s="10"/>
    </row>
    <row r="116" spans="1:4" x14ac:dyDescent="0.2">
      <c r="B116" s="10"/>
      <c r="C116" s="10"/>
      <c r="D116" s="10"/>
    </row>
    <row r="117" spans="1:4" x14ac:dyDescent="0.2">
      <c r="B117" s="10"/>
      <c r="C117" s="10"/>
      <c r="D117" s="10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"/>
  <sheetViews>
    <sheetView tabSelected="1" zoomScale="111" workbookViewId="0">
      <selection activeCell="C57" sqref="C57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40" customWidth="1"/>
    <col min="4" max="4" width="19.1640625" customWidth="1"/>
    <col min="5" max="5" width="20.33203125" customWidth="1"/>
    <col min="6" max="6" width="20" customWidth="1"/>
    <col min="7" max="7" width="15.1640625" customWidth="1"/>
    <col min="8" max="8" width="15" customWidth="1"/>
    <col min="9" max="9" width="18" customWidth="1"/>
  </cols>
  <sheetData>
    <row r="1" spans="1:10" ht="60" customHeight="1" x14ac:dyDescent="0.3">
      <c r="A1" s="7"/>
      <c r="B1" s="17" t="s">
        <v>59</v>
      </c>
      <c r="C1" s="18"/>
      <c r="D1" s="18"/>
      <c r="E1" s="18"/>
      <c r="F1" s="18"/>
      <c r="G1" s="18"/>
      <c r="H1" s="18"/>
      <c r="I1" s="18"/>
      <c r="J1" s="18"/>
    </row>
    <row r="2" spans="1:10" x14ac:dyDescent="0.2">
      <c r="C2" s="51" t="s">
        <v>60</v>
      </c>
      <c r="D2" s="51"/>
      <c r="E2" s="51"/>
      <c r="F2" t="s">
        <v>153</v>
      </c>
    </row>
    <row r="3" spans="1:10" x14ac:dyDescent="0.2">
      <c r="C3" s="9">
        <v>2020</v>
      </c>
      <c r="D3" s="9">
        <v>2021</v>
      </c>
      <c r="E3" s="9">
        <v>2022</v>
      </c>
      <c r="F3" s="9">
        <v>2020</v>
      </c>
      <c r="G3" s="9">
        <v>2021</v>
      </c>
      <c r="H3" s="9">
        <v>2022</v>
      </c>
    </row>
    <row r="4" spans="1:10" x14ac:dyDescent="0.2">
      <c r="A4" s="19">
        <v>1</v>
      </c>
      <c r="B4" s="9" t="s">
        <v>14</v>
      </c>
    </row>
    <row r="5" spans="1:10" x14ac:dyDescent="0.2">
      <c r="A5" s="19">
        <f>+A4+0.1</f>
        <v>1.1000000000000001</v>
      </c>
      <c r="B5" s="1" t="s">
        <v>15</v>
      </c>
      <c r="C5" s="45">
        <f>SUM(F5/F6)</f>
        <v>1.0502274795268425</v>
      </c>
      <c r="D5" s="45">
        <f>SUM(161580/142266)</f>
        <v>1.1357597739445826</v>
      </c>
      <c r="E5" s="45">
        <f>SUM(146791/155393)</f>
        <v>0.9446435811136924</v>
      </c>
      <c r="F5">
        <v>132733</v>
      </c>
    </row>
    <row r="6" spans="1:10" x14ac:dyDescent="0.2">
      <c r="A6" s="19">
        <f t="shared" ref="A6:A13" si="0">+A5+0.1</f>
        <v>1.2000000000000002</v>
      </c>
      <c r="B6" s="1" t="s">
        <v>16</v>
      </c>
      <c r="C6" s="45">
        <f>SUM(42122+42274+24542)/126385</f>
        <v>0.86195355461486722</v>
      </c>
      <c r="D6" s="45">
        <f>SUM(G6/142266)</f>
        <v>0.90633039517523517</v>
      </c>
      <c r="E6" s="45">
        <f>SUM(H6/155393)</f>
        <v>0.72323721145740161</v>
      </c>
      <c r="F6">
        <v>126385</v>
      </c>
      <c r="G6">
        <f>SUM(36220+59829+32891)</f>
        <v>128940</v>
      </c>
      <c r="H6">
        <f>SUM(53888+16138+42360)</f>
        <v>112386</v>
      </c>
    </row>
    <row r="7" spans="1:10" x14ac:dyDescent="0.2">
      <c r="A7" s="19">
        <f t="shared" si="0"/>
        <v>1.3000000000000003</v>
      </c>
      <c r="B7" s="1" t="s">
        <v>17</v>
      </c>
      <c r="C7" s="45">
        <f>SUM(42122/F6)</f>
        <v>0.33328322190133325</v>
      </c>
      <c r="D7" s="45">
        <f>SUM(36220/142266)</f>
        <v>0.25459350793583851</v>
      </c>
      <c r="E7" s="45">
        <f>SUM(53888/155393)</f>
        <v>0.34678524772673158</v>
      </c>
      <c r="F7">
        <v>363165</v>
      </c>
    </row>
    <row r="8" spans="1:10" x14ac:dyDescent="0.2">
      <c r="A8" s="19">
        <f t="shared" si="0"/>
        <v>1.4000000000000004</v>
      </c>
      <c r="B8" s="1" t="s">
        <v>18</v>
      </c>
      <c r="C8" s="45">
        <f>SUM(42122+42274+24542)/(363165/365)</f>
        <v>109.48844189280355</v>
      </c>
      <c r="D8" s="45">
        <f>SUM(G8/(444943/365))</f>
        <v>105.77332377405646</v>
      </c>
      <c r="E8" s="45">
        <f>SUM(H8/(501735/365))</f>
        <v>81.758079464259026</v>
      </c>
      <c r="F8">
        <v>233307</v>
      </c>
      <c r="G8">
        <f>SUM(36220+59829+32891)</f>
        <v>128940</v>
      </c>
      <c r="H8">
        <f>SUM(53888+16138+42360)</f>
        <v>112386</v>
      </c>
      <c r="I8">
        <v>81.760000000000005</v>
      </c>
    </row>
    <row r="9" spans="1:10" x14ac:dyDescent="0.2">
      <c r="A9" s="19">
        <f t="shared" si="0"/>
        <v>1.5000000000000004</v>
      </c>
      <c r="B9" s="1" t="s">
        <v>19</v>
      </c>
      <c r="C9" t="s">
        <v>152</v>
      </c>
      <c r="D9" s="45">
        <f>SUM(G9/I9)*365</f>
        <v>37.817567120994035</v>
      </c>
      <c r="E9" s="45">
        <f>SUM(H9/288831)*365</f>
        <v>42.362878292150086</v>
      </c>
      <c r="F9">
        <v>72539</v>
      </c>
      <c r="G9">
        <f>SUM(23795+32640)/2</f>
        <v>28217.5</v>
      </c>
      <c r="H9">
        <f>SUM(34405+32640)/2</f>
        <v>33522.5</v>
      </c>
      <c r="I9">
        <v>272344</v>
      </c>
    </row>
    <row r="10" spans="1:10" x14ac:dyDescent="0.2">
      <c r="A10" s="19">
        <f t="shared" si="0"/>
        <v>1.6000000000000005</v>
      </c>
      <c r="B10" s="1" t="s">
        <v>20</v>
      </c>
      <c r="C10" s="45">
        <f>SUM(F9*365)/F8</f>
        <v>113.48452896826927</v>
      </c>
      <c r="D10" s="45">
        <f>SUM(I12*365)/I9</f>
        <v>105.42681314807743</v>
      </c>
      <c r="E10" s="45">
        <f>SUM(H10/288831)</f>
        <v>100.59169548975007</v>
      </c>
      <c r="F10">
        <v>386064</v>
      </c>
      <c r="H10">
        <f>SUM(79600*365)</f>
        <v>29054000</v>
      </c>
      <c r="I10">
        <v>32891</v>
      </c>
    </row>
    <row r="11" spans="1:10" x14ac:dyDescent="0.2">
      <c r="A11" s="19">
        <f t="shared" si="0"/>
        <v>1.7000000000000006</v>
      </c>
      <c r="B11" s="1" t="s">
        <v>21</v>
      </c>
      <c r="C11" s="45">
        <f>SUM(F11/F10)*365</f>
        <v>23.202966347548593</v>
      </c>
      <c r="D11" s="45">
        <f>SUM(I10/I11)*365</f>
        <v>25.552688039299991</v>
      </c>
      <c r="E11" s="45">
        <f>SUM(H11*365)</f>
        <v>30.081539661817608</v>
      </c>
      <c r="F11">
        <v>24542</v>
      </c>
      <c r="H11">
        <f>SUM(42360/513983)</f>
        <v>8.2415177155664682E-2</v>
      </c>
      <c r="I11">
        <v>469822</v>
      </c>
    </row>
    <row r="12" spans="1:10" x14ac:dyDescent="0.2">
      <c r="A12" s="19">
        <f t="shared" si="0"/>
        <v>1.8000000000000007</v>
      </c>
      <c r="B12" s="1" t="s">
        <v>22</v>
      </c>
      <c r="C12" s="50"/>
      <c r="D12" s="45">
        <f>SUM(D9+D11)-D10</f>
        <v>-42.056557987783407</v>
      </c>
      <c r="E12" s="45">
        <f>SUM(E9+E11)-E10</f>
        <v>-28.147277535782365</v>
      </c>
      <c r="F12">
        <v>22899</v>
      </c>
      <c r="I12">
        <v>78664</v>
      </c>
    </row>
    <row r="13" spans="1:10" x14ac:dyDescent="0.2">
      <c r="A13" s="19">
        <f t="shared" si="0"/>
        <v>1.9000000000000008</v>
      </c>
      <c r="B13" s="1" t="s">
        <v>23</v>
      </c>
      <c r="C13" s="45">
        <f>SUM(C14/F10)*100</f>
        <v>1.6442869576028845</v>
      </c>
      <c r="D13" s="45">
        <f>SUM(D14/I11)*100</f>
        <v>4.1109186032156861</v>
      </c>
      <c r="E13" s="45">
        <f>SUM(E14/H14)*100</f>
        <v>-1.6735962084349094</v>
      </c>
      <c r="I13">
        <v>161580</v>
      </c>
    </row>
    <row r="14" spans="1:10" x14ac:dyDescent="0.2">
      <c r="A14" s="19"/>
      <c r="B14" s="16" t="s">
        <v>24</v>
      </c>
      <c r="C14" s="45">
        <f>SUM(F5-F6)</f>
        <v>6348</v>
      </c>
      <c r="D14" s="45">
        <f>SUM(I13-I14)</f>
        <v>19314</v>
      </c>
      <c r="E14" s="45">
        <f>SUM(146791-155393)</f>
        <v>-8602</v>
      </c>
      <c r="F14">
        <v>386064</v>
      </c>
      <c r="H14">
        <v>513983</v>
      </c>
      <c r="I14">
        <v>142266</v>
      </c>
    </row>
    <row r="15" spans="1:10" x14ac:dyDescent="0.2">
      <c r="A15" s="19"/>
      <c r="C15" s="45"/>
      <c r="D15" s="45"/>
      <c r="E15" s="45"/>
      <c r="F15">
        <v>42122</v>
      </c>
      <c r="H15">
        <v>288831</v>
      </c>
      <c r="I15">
        <v>444943</v>
      </c>
    </row>
    <row r="16" spans="1:10" x14ac:dyDescent="0.2">
      <c r="A16" s="19">
        <f>+A4+1</f>
        <v>2</v>
      </c>
      <c r="B16" s="20" t="s">
        <v>25</v>
      </c>
      <c r="C16" s="45"/>
      <c r="D16" s="45"/>
      <c r="E16" s="45"/>
      <c r="F16">
        <f>SUM(F26-F15)</f>
        <v>62233</v>
      </c>
      <c r="H16">
        <v>501735</v>
      </c>
      <c r="I16">
        <v>24879</v>
      </c>
    </row>
    <row r="17" spans="1:9" x14ac:dyDescent="0.2">
      <c r="A17" s="19">
        <f>+A16+0.1</f>
        <v>2.1</v>
      </c>
      <c r="B17" s="1" t="s">
        <v>11</v>
      </c>
      <c r="C17" s="45">
        <f>SUM(F10-F8)/F10*100</f>
        <v>39.567791868705712</v>
      </c>
      <c r="D17" s="45">
        <f>SUM(I11-I9)/I11*100</f>
        <v>42.032514441639599</v>
      </c>
      <c r="E17" s="45">
        <f>SUM(H14-H15)/H14*100</f>
        <v>43.805339865326289</v>
      </c>
      <c r="H17">
        <v>12248</v>
      </c>
      <c r="I17">
        <v>33364</v>
      </c>
    </row>
    <row r="18" spans="1:9" x14ac:dyDescent="0.2">
      <c r="A18" s="19">
        <f>+A17+0.1</f>
        <v>2.2000000000000002</v>
      </c>
      <c r="B18" s="1" t="s">
        <v>26</v>
      </c>
      <c r="C18" s="45">
        <f>SUM(48079/F10)*100</f>
        <v>12.453634630527581</v>
      </c>
      <c r="D18" s="45">
        <f>SUM(D19/I11)*100</f>
        <v>12.624355607017126</v>
      </c>
      <c r="E18" s="45">
        <f>SUM((54169/H14)*100)</f>
        <v>10.539064521589236</v>
      </c>
      <c r="H18">
        <v>-2722</v>
      </c>
      <c r="I18">
        <v>282304</v>
      </c>
    </row>
    <row r="19" spans="1:9" x14ac:dyDescent="0.2">
      <c r="A19" s="19"/>
      <c r="B19" s="16" t="s">
        <v>27</v>
      </c>
      <c r="C19" s="45">
        <f>SUM(F12+25180)</f>
        <v>48079</v>
      </c>
      <c r="D19" s="45">
        <f>SUM(24879+34433)</f>
        <v>59312</v>
      </c>
      <c r="E19" s="45">
        <f>SUM(12248+41921)</f>
        <v>54169</v>
      </c>
      <c r="I19">
        <v>259064</v>
      </c>
    </row>
    <row r="20" spans="1:9" x14ac:dyDescent="0.2">
      <c r="A20" s="19">
        <f>+A18+0.1</f>
        <v>2.3000000000000003</v>
      </c>
      <c r="B20" s="1" t="s">
        <v>28</v>
      </c>
      <c r="C20" s="45">
        <f>SUM(F12/F14)*100</f>
        <v>5.9313999751336572</v>
      </c>
      <c r="D20" s="45">
        <f>SUM(I16/I11)*100</f>
        <v>5.2954097509269467</v>
      </c>
      <c r="E20" s="45">
        <f>SUM(H17/H14)*100</f>
        <v>2.382958191224223</v>
      </c>
      <c r="I20">
        <v>420549</v>
      </c>
    </row>
    <row r="21" spans="1:9" x14ac:dyDescent="0.2">
      <c r="A21" s="19"/>
      <c r="B21" s="16" t="s">
        <v>29</v>
      </c>
      <c r="C21" s="45">
        <f>SUM(F14-F7-F8)</f>
        <v>-210408</v>
      </c>
      <c r="D21" s="45">
        <f>SUM(I11-I9-I15)</f>
        <v>-247465</v>
      </c>
      <c r="E21" s="45">
        <f>SUM(H14-H15-H16)</f>
        <v>-276583</v>
      </c>
    </row>
    <row r="22" spans="1:9" x14ac:dyDescent="0.2">
      <c r="A22" s="19">
        <f>+A20+0.1</f>
        <v>2.4000000000000004</v>
      </c>
      <c r="B22" s="1" t="s">
        <v>30</v>
      </c>
      <c r="C22" s="45">
        <f>SUM(21331/F10)*100</f>
        <v>5.5252496995316838</v>
      </c>
      <c r="D22" s="45">
        <f>SUM(I17/I11)*100</f>
        <v>7.1014128755145567</v>
      </c>
      <c r="E22" s="45">
        <f>SUM((H18/H14)*100)</f>
        <v>-0.52958950004183014</v>
      </c>
    </row>
    <row r="23" spans="1:9" x14ac:dyDescent="0.2">
      <c r="A23" s="19"/>
      <c r="F23">
        <v>93902</v>
      </c>
    </row>
    <row r="24" spans="1:9" x14ac:dyDescent="0.2">
      <c r="A24" s="19">
        <f>+A16+1</f>
        <v>3</v>
      </c>
      <c r="B24" s="9" t="s">
        <v>31</v>
      </c>
      <c r="F24">
        <v>321195</v>
      </c>
      <c r="G24">
        <v>48744</v>
      </c>
      <c r="H24">
        <v>63645</v>
      </c>
    </row>
    <row r="25" spans="1:9" x14ac:dyDescent="0.2">
      <c r="A25" s="19">
        <f>+A24+0.1</f>
        <v>3.1</v>
      </c>
      <c r="B25" s="1" t="s">
        <v>32</v>
      </c>
      <c r="C25" s="45">
        <f>SUM(227791/93902)</f>
        <v>2.4258375753445081</v>
      </c>
      <c r="D25" s="45">
        <f>SUM(I18/I19)</f>
        <v>1.0897075626100114</v>
      </c>
      <c r="E25" s="45">
        <f>SUM(316632/145935)</f>
        <v>2.1696782814266626</v>
      </c>
      <c r="G25">
        <f>SUM(G26/2)</f>
        <v>63704</v>
      </c>
      <c r="H25">
        <v>46752</v>
      </c>
    </row>
    <row r="26" spans="1:9" x14ac:dyDescent="0.2">
      <c r="A26" s="19">
        <f t="shared" ref="A26:A30" si="1">+A25+0.1</f>
        <v>3.2</v>
      </c>
      <c r="B26" s="1" t="s">
        <v>33</v>
      </c>
      <c r="C26" s="45">
        <f>SUM(F26/F24)</f>
        <v>0.32489609115957596</v>
      </c>
      <c r="D26" s="45">
        <f>SUM(G26/I20)</f>
        <v>0.30295637369248291</v>
      </c>
      <c r="E26" s="45">
        <f>SUM(67150+79600)/462675</f>
        <v>0.31717728427081643</v>
      </c>
      <c r="F26">
        <f>SUM(31816+72539)</f>
        <v>104355</v>
      </c>
      <c r="G26">
        <f>SUM(48744+78664)</f>
        <v>127408</v>
      </c>
    </row>
    <row r="27" spans="1:9" x14ac:dyDescent="0.2">
      <c r="A27" s="19">
        <f t="shared" si="1"/>
        <v>3.3000000000000003</v>
      </c>
      <c r="B27" s="1" t="s">
        <v>34</v>
      </c>
      <c r="C27" s="45">
        <f>SUM(31816/(31816+F23))</f>
        <v>0.25307434098537995</v>
      </c>
      <c r="D27" s="45">
        <f>SUM(G24/(G24+I19))</f>
        <v>0.15835845722008524</v>
      </c>
      <c r="E27" s="45">
        <f>SUM(67150/(67150+145935))</f>
        <v>0.31513245887791258</v>
      </c>
      <c r="F27">
        <v>0.26</v>
      </c>
      <c r="G27">
        <f>SUM(G26-36220)</f>
        <v>91188</v>
      </c>
      <c r="H27">
        <f>SUM(H29-53888)</f>
        <v>92862</v>
      </c>
    </row>
    <row r="28" spans="1:9" x14ac:dyDescent="0.2">
      <c r="A28" s="19">
        <f t="shared" si="1"/>
        <v>3.4000000000000004</v>
      </c>
      <c r="B28" s="1" t="s">
        <v>35</v>
      </c>
      <c r="C28" s="45">
        <f>SUM(C21/F28)</f>
        <v>127.75227686703097</v>
      </c>
      <c r="D28" s="45">
        <f>SUM(D21/G28)</f>
        <v>136.79657269209508</v>
      </c>
      <c r="E28" s="45">
        <f>SUM(E21/H28)</f>
        <v>116.84959864807773</v>
      </c>
      <c r="F28">
        <v>-1647</v>
      </c>
      <c r="G28">
        <v>-1809</v>
      </c>
      <c r="H28">
        <v>-2367</v>
      </c>
    </row>
    <row r="29" spans="1:9" x14ac:dyDescent="0.2">
      <c r="A29" s="19">
        <f t="shared" si="1"/>
        <v>3.5000000000000004</v>
      </c>
      <c r="B29" s="1" t="s">
        <v>36</v>
      </c>
      <c r="C29" s="45">
        <f>SUM(C21/F26)</f>
        <v>-2.0162713813425328</v>
      </c>
      <c r="D29" s="45">
        <f>SUM(D21/G26)</f>
        <v>-1.9423034660303906</v>
      </c>
      <c r="E29" s="45">
        <f>SUM(E21/H29)</f>
        <v>-1.8847223168654175</v>
      </c>
      <c r="H29">
        <f>SUM(67150+79600)</f>
        <v>146750</v>
      </c>
    </row>
    <row r="30" spans="1:9" x14ac:dyDescent="0.2">
      <c r="A30" s="19">
        <f t="shared" si="1"/>
        <v>3.6000000000000005</v>
      </c>
      <c r="B30" s="1" t="s">
        <v>37</v>
      </c>
      <c r="C30" s="45">
        <f>SUM(C31/F30)</f>
        <v>176.33598409542745</v>
      </c>
      <c r="D30" s="45">
        <f>SUM(D31/G30)</f>
        <v>7.5146928746928747</v>
      </c>
      <c r="E30" s="45">
        <f>SUM(E31/H30)</f>
        <v>12.678871314196446</v>
      </c>
      <c r="F30">
        <v>503</v>
      </c>
      <c r="G30">
        <v>10175</v>
      </c>
      <c r="H30">
        <v>10242</v>
      </c>
    </row>
    <row r="31" spans="1:9" x14ac:dyDescent="0.2">
      <c r="A31" s="19"/>
      <c r="B31" s="16" t="s">
        <v>38</v>
      </c>
      <c r="C31" s="45">
        <f>SUM(F31-F32)+F16</f>
        <v>88697</v>
      </c>
      <c r="D31" s="45">
        <f>SUM(46327-61053)+G27</f>
        <v>76462</v>
      </c>
      <c r="E31" s="45">
        <f>SUM(H25-H24)+H29</f>
        <v>129857</v>
      </c>
      <c r="F31">
        <v>66604</v>
      </c>
    </row>
    <row r="32" spans="1:9" x14ac:dyDescent="0.2">
      <c r="A32" s="19"/>
      <c r="F32">
        <v>40140</v>
      </c>
    </row>
    <row r="33" spans="1:8" x14ac:dyDescent="0.2">
      <c r="A33" s="19">
        <f>+A24+1</f>
        <v>4</v>
      </c>
      <c r="B33" s="20" t="s">
        <v>39</v>
      </c>
    </row>
    <row r="34" spans="1:8" x14ac:dyDescent="0.2">
      <c r="A34" s="19">
        <f>+A33+0.1</f>
        <v>4.0999999999999996</v>
      </c>
      <c r="B34" s="1" t="s">
        <v>40</v>
      </c>
      <c r="D34" s="45">
        <f>SUM(469822/G34)</f>
        <v>1.2668036411484285</v>
      </c>
      <c r="E34" s="45">
        <f>SUM(H14/H34)</f>
        <v>1.1638791518346421</v>
      </c>
      <c r="G34">
        <f>SUM(321195+420549)/2</f>
        <v>370872</v>
      </c>
      <c r="H34">
        <f>SUM(420549+462675)/2</f>
        <v>441612</v>
      </c>
    </row>
    <row r="35" spans="1:8" x14ac:dyDescent="0.2">
      <c r="A35" s="19">
        <f t="shared" ref="A35:A37" si="2">+A34+0.1</f>
        <v>4.1999999999999993</v>
      </c>
      <c r="B35" s="1" t="s">
        <v>41</v>
      </c>
      <c r="C35" t="s">
        <v>149</v>
      </c>
      <c r="D35" s="45">
        <f>SUM(469822/G35)</f>
        <v>3.4369465425483274</v>
      </c>
      <c r="E35" s="45">
        <f>SUM(H14/H35)</f>
        <v>2.9624721898811512</v>
      </c>
      <c r="G35">
        <f>SUM(113114+160281)/2</f>
        <v>136697.5</v>
      </c>
      <c r="H35">
        <f>SUM(160281+186715)/2</f>
        <v>173498</v>
      </c>
    </row>
    <row r="36" spans="1:8" x14ac:dyDescent="0.2">
      <c r="A36" s="19">
        <f t="shared" si="2"/>
        <v>4.2999999999999989</v>
      </c>
      <c r="B36" s="1" t="s">
        <v>42</v>
      </c>
      <c r="D36" s="45">
        <f>SUM(272344/G36)</f>
        <v>9.6515991849029863</v>
      </c>
      <c r="E36" s="45">
        <f>SUM(H15/H36)</f>
        <v>8.6160340070102173</v>
      </c>
      <c r="G36">
        <f>SUM(23795+32640)/2</f>
        <v>28217.5</v>
      </c>
      <c r="H36">
        <f>SUM(32640+34405)/2</f>
        <v>33522.5</v>
      </c>
    </row>
    <row r="37" spans="1:8" x14ac:dyDescent="0.2">
      <c r="A37" s="19">
        <f t="shared" si="2"/>
        <v>4.3999999999999986</v>
      </c>
      <c r="B37" s="1" t="s">
        <v>43</v>
      </c>
      <c r="D37" s="45">
        <f>SUM(I17/G37)*100</f>
        <v>8.996095688000171</v>
      </c>
      <c r="E37" s="45">
        <f>SUM(H18/H37)*100</f>
        <v>-0.61637817812921747</v>
      </c>
      <c r="G37">
        <f>SUM(321195+420549)/2</f>
        <v>370872</v>
      </c>
      <c r="H37">
        <f>SUM(420549+462675)/2</f>
        <v>441612</v>
      </c>
    </row>
    <row r="38" spans="1:8" x14ac:dyDescent="0.2">
      <c r="A38" s="19"/>
      <c r="D38" s="45"/>
      <c r="E38" s="45"/>
    </row>
    <row r="39" spans="1:8" x14ac:dyDescent="0.2">
      <c r="A39" s="19">
        <f>+A33+1</f>
        <v>5</v>
      </c>
      <c r="B39" s="20" t="s">
        <v>44</v>
      </c>
      <c r="D39" s="45"/>
      <c r="E39" s="45"/>
    </row>
    <row r="40" spans="1:8" x14ac:dyDescent="0.2">
      <c r="A40" s="19">
        <f>+A39+0.1</f>
        <v>5.0999999999999996</v>
      </c>
      <c r="B40" s="1" t="s">
        <v>45</v>
      </c>
      <c r="C40" s="45">
        <f>SUM(F40/C41)</f>
        <v>3.8401176691200596</v>
      </c>
      <c r="D40" s="45">
        <f>SUM(G40/D41)</f>
        <v>50.844503057187382</v>
      </c>
      <c r="E40" s="45">
        <f>SUM(H40/E41)</f>
        <v>-316.06465833945629</v>
      </c>
      <c r="F40">
        <v>162.85</v>
      </c>
      <c r="G40">
        <v>166.72</v>
      </c>
      <c r="H40">
        <v>84</v>
      </c>
    </row>
    <row r="41" spans="1:8" x14ac:dyDescent="0.2">
      <c r="A41" s="19">
        <f t="shared" ref="A41:A44" si="3">+A40+0.1</f>
        <v>5.1999999999999993</v>
      </c>
      <c r="B41" s="16" t="s">
        <v>46</v>
      </c>
      <c r="C41" s="45">
        <f>SUM(F41/F30)</f>
        <v>42.407554671968192</v>
      </c>
      <c r="D41" s="45">
        <f>SUM(I17/G30)</f>
        <v>3.2790171990171992</v>
      </c>
      <c r="E41" s="45">
        <f>SUM(H18/10242)</f>
        <v>-0.2657684046084749</v>
      </c>
      <c r="F41">
        <v>21331</v>
      </c>
    </row>
    <row r="42" spans="1:8" x14ac:dyDescent="0.2">
      <c r="A42" s="19">
        <f t="shared" si="3"/>
        <v>5.2999999999999989</v>
      </c>
      <c r="B42" s="1" t="s">
        <v>47</v>
      </c>
      <c r="C42" s="45">
        <f>SUM(F40/C43)</f>
        <v>0.87233019531000411</v>
      </c>
      <c r="D42" s="45">
        <f>SUM(G40/D43)</f>
        <v>6.5480962233270548</v>
      </c>
      <c r="E42" s="45">
        <f>SUM(H40/E43)</f>
        <v>5.8952821461609624</v>
      </c>
    </row>
    <row r="43" spans="1:8" x14ac:dyDescent="0.2">
      <c r="A43" s="19">
        <f t="shared" si="3"/>
        <v>5.3999999999999986</v>
      </c>
      <c r="B43" s="16" t="s">
        <v>48</v>
      </c>
      <c r="C43" s="45">
        <f>SUM(F23/F30)</f>
        <v>186.68389662027832</v>
      </c>
      <c r="D43" s="45">
        <f>SUM(I19/G30)</f>
        <v>25.46083538083538</v>
      </c>
      <c r="E43" s="45">
        <f>SUM(145935/10242)</f>
        <v>14.248681898066783</v>
      </c>
    </row>
    <row r="44" spans="1:8" x14ac:dyDescent="0.2">
      <c r="A44" s="19">
        <f t="shared" si="3"/>
        <v>5.4999999999999982</v>
      </c>
      <c r="B44" s="1" t="s">
        <v>49</v>
      </c>
      <c r="D44" s="45"/>
      <c r="E44" s="45"/>
    </row>
    <row r="45" spans="1:8" x14ac:dyDescent="0.2">
      <c r="A45" s="19"/>
      <c r="B45" s="16" t="s">
        <v>50</v>
      </c>
      <c r="C45" t="s">
        <v>154</v>
      </c>
      <c r="D45" s="45">
        <v>186.68</v>
      </c>
      <c r="E45" s="45"/>
    </row>
    <row r="46" spans="1:8" x14ac:dyDescent="0.2">
      <c r="A46" s="19">
        <f>+A44+0.1</f>
        <v>5.5999999999999979</v>
      </c>
      <c r="B46" s="1" t="s">
        <v>51</v>
      </c>
      <c r="D46" s="45"/>
      <c r="E46" s="45"/>
    </row>
    <row r="47" spans="1:8" x14ac:dyDescent="0.2">
      <c r="A47" s="19">
        <f t="shared" ref="A47:A50" si="4">+A45+0.1</f>
        <v>0.1</v>
      </c>
      <c r="B47" s="1" t="s">
        <v>52</v>
      </c>
      <c r="C47" s="45">
        <f>SUM(F41/F23)*100</f>
        <v>22.716236075908927</v>
      </c>
      <c r="D47" s="45">
        <f>SUM(I17/I19)*100</f>
        <v>12.878670907574962</v>
      </c>
      <c r="E47" s="45">
        <f>SUM(H18/145935)*100</f>
        <v>-1.8652139651214581</v>
      </c>
    </row>
    <row r="48" spans="1:8" x14ac:dyDescent="0.2">
      <c r="A48" s="19">
        <f t="shared" si="4"/>
        <v>5.6999999999999975</v>
      </c>
      <c r="B48" s="1" t="s">
        <v>53</v>
      </c>
      <c r="C48" s="45">
        <f>SUM(C21/F48)*100</f>
        <v>-108.0067758328628</v>
      </c>
      <c r="D48" s="45">
        <f>SUM(D21/G48)*100</f>
        <v>-88.925662005943579</v>
      </c>
      <c r="E48" s="45">
        <f>SUM(E21/H48)*100</f>
        <v>-90.009502671812854</v>
      </c>
      <c r="F48">
        <f>SUM(F24-F6)</f>
        <v>194810</v>
      </c>
      <c r="G48">
        <f>SUM(I20-I14)</f>
        <v>278283</v>
      </c>
      <c r="H48">
        <f>SUM(462675-155393)</f>
        <v>307282</v>
      </c>
    </row>
    <row r="49" spans="1:9" x14ac:dyDescent="0.2">
      <c r="A49" s="19">
        <f t="shared" si="4"/>
        <v>0.2</v>
      </c>
      <c r="B49" s="1" t="s">
        <v>43</v>
      </c>
      <c r="C49" t="s">
        <v>151</v>
      </c>
      <c r="D49" s="45">
        <f>SUM(I17/G49)*100</f>
        <v>8.996095688000171</v>
      </c>
      <c r="E49" s="45">
        <f>SUM(H18/H49)*100</f>
        <v>-0.61637817812921747</v>
      </c>
      <c r="G49">
        <f>SUM(321195+420549)/2</f>
        <v>370872</v>
      </c>
      <c r="H49">
        <f>SUM(420549+462675)/2</f>
        <v>441612</v>
      </c>
    </row>
    <row r="50" spans="1:9" x14ac:dyDescent="0.2">
      <c r="A50" s="19">
        <f t="shared" si="4"/>
        <v>5.7999999999999972</v>
      </c>
      <c r="B50" s="1" t="s">
        <v>54</v>
      </c>
      <c r="C50" s="45">
        <f>SUM(C51/C19)</f>
        <v>2.9981187212712408</v>
      </c>
      <c r="D50" s="45">
        <f>SUM(D51/D19)</f>
        <v>30.138319395737792</v>
      </c>
      <c r="E50" s="45">
        <f>SUM(E51/E19)</f>
        <v>17.596595838948478</v>
      </c>
    </row>
    <row r="51" spans="1:9" x14ac:dyDescent="0.2">
      <c r="A51" s="19"/>
      <c r="B51" s="16" t="s">
        <v>55</v>
      </c>
      <c r="C51" s="45">
        <f>SUM(F51+F26)-F15</f>
        <v>144146.54999999999</v>
      </c>
      <c r="D51" s="45">
        <f>SUM(G51+G26)-G53</f>
        <v>1787564</v>
      </c>
      <c r="E51" s="45">
        <f>SUM(H51+H29)-H53</f>
        <v>953190</v>
      </c>
      <c r="F51">
        <f>SUM(F30*F40)</f>
        <v>81913.55</v>
      </c>
      <c r="G51">
        <f>SUM(G30*G40)</f>
        <v>1696376</v>
      </c>
      <c r="H51">
        <f>SUM(10242*H40)</f>
        <v>860328</v>
      </c>
      <c r="I51">
        <v>185.07</v>
      </c>
    </row>
    <row r="53" spans="1:9" x14ac:dyDescent="0.2">
      <c r="F53">
        <v>42122</v>
      </c>
      <c r="G53">
        <v>36220</v>
      </c>
      <c r="H53">
        <v>53888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Alan Cooper</cp:lastModifiedBy>
  <dcterms:created xsi:type="dcterms:W3CDTF">2020-05-19T16:15:53Z</dcterms:created>
  <dcterms:modified xsi:type="dcterms:W3CDTF">2024-04-12T11:37:46Z</dcterms:modified>
</cp:coreProperties>
</file>