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Quill Capital Investment Program\"/>
    </mc:Choice>
  </mc:AlternateContent>
  <bookViews>
    <workbookView xWindow="0" yWindow="0" windowWidth="23040" windowHeight="7525" activeTab="2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3" l="1"/>
  <c r="C69" i="3"/>
  <c r="D68" i="3"/>
  <c r="C68" i="3"/>
  <c r="D66" i="3"/>
  <c r="D65" i="3"/>
  <c r="D67" i="3"/>
  <c r="C67" i="3"/>
  <c r="C66" i="3"/>
  <c r="C65" i="3"/>
  <c r="D64" i="3"/>
  <c r="C64" i="3"/>
  <c r="D63" i="3"/>
  <c r="D62" i="3"/>
  <c r="C63" i="3"/>
  <c r="C62" i="3"/>
  <c r="D60" i="3"/>
  <c r="C60" i="3"/>
  <c r="D59" i="3"/>
  <c r="C59" i="3"/>
  <c r="D58" i="3"/>
  <c r="C58" i="3"/>
  <c r="D57" i="3"/>
  <c r="C57" i="3"/>
  <c r="K52" i="3"/>
  <c r="J52" i="3"/>
  <c r="K51" i="3"/>
  <c r="J51" i="3"/>
  <c r="K50" i="3"/>
  <c r="J50" i="3"/>
  <c r="I52" i="3"/>
  <c r="I51" i="3"/>
  <c r="I50" i="3"/>
  <c r="J53" i="3" l="1"/>
  <c r="D53" i="3" s="1"/>
  <c r="K53" i="3"/>
  <c r="E53" i="3" s="1"/>
  <c r="I53" i="3"/>
  <c r="C53" i="3" s="1"/>
  <c r="E51" i="3" l="1"/>
  <c r="D51" i="3"/>
  <c r="E50" i="3"/>
  <c r="D50" i="3"/>
  <c r="E49" i="3"/>
  <c r="D49" i="3"/>
  <c r="E47" i="3"/>
  <c r="D47" i="3"/>
  <c r="D48" i="3" s="1"/>
  <c r="E45" i="3"/>
  <c r="D45" i="3"/>
  <c r="D44" i="3" s="1"/>
  <c r="E44" i="3"/>
  <c r="D43" i="3"/>
  <c r="D41" i="3" s="1"/>
  <c r="C51" i="3"/>
  <c r="C50" i="3"/>
  <c r="C49" i="3"/>
  <c r="C47" i="3"/>
  <c r="C45" i="3"/>
  <c r="C44" i="3" s="1"/>
  <c r="D46" i="3" l="1"/>
  <c r="C48" i="3"/>
  <c r="E48" i="3"/>
  <c r="E43" i="3"/>
  <c r="E41" i="3" s="1"/>
  <c r="C43" i="3"/>
  <c r="C41" i="3" s="1"/>
  <c r="E32" i="3"/>
  <c r="K27" i="3" s="1"/>
  <c r="D32" i="3"/>
  <c r="J27" i="3" s="1"/>
  <c r="C32" i="3"/>
  <c r="I27" i="3" s="1"/>
  <c r="K29" i="3"/>
  <c r="J29" i="3"/>
  <c r="K28" i="3"/>
  <c r="J28" i="3"/>
  <c r="K26" i="3"/>
  <c r="J26" i="3"/>
  <c r="K25" i="3"/>
  <c r="J25" i="3"/>
  <c r="I29" i="3"/>
  <c r="I28" i="3"/>
  <c r="I26" i="3"/>
  <c r="I25" i="3"/>
  <c r="E38" i="3"/>
  <c r="D38" i="3"/>
  <c r="E37" i="3"/>
  <c r="D37" i="3"/>
  <c r="E36" i="3"/>
  <c r="D36" i="3"/>
  <c r="E35" i="3"/>
  <c r="D35" i="3"/>
  <c r="E29" i="3"/>
  <c r="D29" i="3"/>
  <c r="E28" i="3"/>
  <c r="D28" i="3"/>
  <c r="E27" i="3"/>
  <c r="D27" i="3"/>
  <c r="E26" i="3"/>
  <c r="D26" i="3"/>
  <c r="E25" i="3"/>
  <c r="D25" i="3"/>
  <c r="C38" i="3"/>
  <c r="C37" i="3"/>
  <c r="C36" i="3"/>
  <c r="C35" i="3"/>
  <c r="E46" i="3" l="1"/>
  <c r="C46" i="3"/>
  <c r="I30" i="3"/>
  <c r="C31" i="3" s="1"/>
  <c r="C30" i="3" s="1"/>
  <c r="J30" i="3"/>
  <c r="D31" i="3" s="1"/>
  <c r="D30" i="3" s="1"/>
  <c r="K30" i="3"/>
  <c r="E31" i="3" s="1"/>
  <c r="E30" i="3" s="1"/>
  <c r="C29" i="3" l="1"/>
  <c r="C28" i="3"/>
  <c r="E21" i="3"/>
  <c r="E20" i="3" s="1"/>
  <c r="D21" i="3"/>
  <c r="D20" i="3" s="1"/>
  <c r="E19" i="3"/>
  <c r="D19" i="3"/>
  <c r="C19" i="3"/>
  <c r="C52" i="3" s="1"/>
  <c r="C21" i="3"/>
  <c r="C20" i="3" s="1"/>
  <c r="C27" i="3"/>
  <c r="C26" i="3"/>
  <c r="C25" i="3"/>
  <c r="E22" i="3"/>
  <c r="D22" i="3"/>
  <c r="E17" i="3"/>
  <c r="D17" i="3"/>
  <c r="C22" i="3"/>
  <c r="C17" i="3"/>
  <c r="E14" i="3"/>
  <c r="E13" i="3" s="1"/>
  <c r="E11" i="3"/>
  <c r="E10" i="3"/>
  <c r="E9" i="3"/>
  <c r="E8" i="3"/>
  <c r="E7" i="3"/>
  <c r="E6" i="3"/>
  <c r="E5" i="3"/>
  <c r="D14" i="3"/>
  <c r="D13" i="3" s="1"/>
  <c r="D11" i="3"/>
  <c r="D10" i="3"/>
  <c r="D9" i="3"/>
  <c r="D8" i="3"/>
  <c r="D7" i="3"/>
  <c r="D6" i="3"/>
  <c r="D5" i="3"/>
  <c r="C14" i="3"/>
  <c r="C13" i="3" s="1"/>
  <c r="C11" i="3"/>
  <c r="C10" i="3"/>
  <c r="C9" i="3"/>
  <c r="C8" i="3"/>
  <c r="C7" i="3"/>
  <c r="C6" i="3"/>
  <c r="C5" i="3"/>
  <c r="E18" i="3" l="1"/>
  <c r="E52" i="3"/>
  <c r="D18" i="3"/>
  <c r="D52" i="3"/>
  <c r="C18" i="3"/>
  <c r="C12" i="3"/>
  <c r="D12" i="3"/>
  <c r="E12" i="3"/>
  <c r="D109" i="1"/>
  <c r="B109" i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2" i="1"/>
  <c r="C12" i="1"/>
  <c r="B12" i="1"/>
  <c r="D8" i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C48" i="1"/>
  <c r="D62" i="1"/>
  <c r="D69" i="1" s="1"/>
  <c r="C69" i="1"/>
  <c r="D48" i="1"/>
  <c r="B69" i="1"/>
  <c r="A49" i="3"/>
  <c r="A51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4" i="3" l="1"/>
  <c r="A40" i="3" l="1"/>
  <c r="A41" i="3" s="1"/>
  <c r="A43" i="3" s="1"/>
  <c r="A44" i="3" s="1"/>
  <c r="A45" i="3" s="1"/>
  <c r="A46" i="3" s="1"/>
  <c r="A48" i="3" s="1"/>
  <c r="A50" i="3" s="1"/>
  <c r="A52" i="3" s="1"/>
  <c r="A35" i="3"/>
  <c r="A36" i="3" s="1"/>
  <c r="A37" i="3" s="1"/>
  <c r="A38" i="3" s="1"/>
</calcChain>
</file>

<file path=xl/sharedStrings.xml><?xml version="1.0" encoding="utf-8"?>
<sst xmlns="http://schemas.openxmlformats.org/spreadsheetml/2006/main" count="202" uniqueCount="164">
  <si>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</si>
  <si>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</si>
  <si>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</si>
  <si>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</si>
  <si>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</si>
  <si>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</si>
  <si>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</si>
  <si>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</si>
  <si>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</si>
  <si>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</si>
  <si>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</si>
  <si>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</si>
  <si>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</si>
  <si>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</si>
  <si>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</si>
  <si>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</si>
  <si>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</si>
  <si>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</si>
  <si>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</si>
  <si>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</si>
  <si>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</si>
  <si>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</si>
  <si>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</si>
  <si>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</si>
  <si>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</si>
  <si>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</si>
  <si>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</si>
  <si>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</si>
  <si>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</si>
  <si>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</si>
  <si>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</si>
  <si>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</si>
  <si>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</si>
  <si>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</si>
  <si>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</si>
  <si>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</si>
  <si>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</si>
  <si>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</si>
  <si>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</si>
  <si>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</si>
  <si>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</si>
  <si>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</si>
  <si>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</si>
  <si>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</si>
  <si>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</si>
  <si>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</si>
  <si>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</si>
  <si>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</si>
  <si>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</si>
  <si>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</si>
  <si>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</si>
  <si>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</si>
  <si>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</si>
  <si>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</si>
  <si>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</si>
  <si>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</si>
  <si>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</si>
  <si>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</si>
  <si>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</si>
  <si>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</si>
  <si>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</si>
  <si>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</si>
  <si>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</si>
  <si>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</si>
  <si>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</si>
  <si>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</si>
  <si>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</si>
  <si>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</si>
  <si>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</si>
  <si>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</si>
  <si>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</si>
  <si>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</si>
  <si>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</si>
  <si>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</si>
  <si>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</si>
  <si>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</si>
  <si>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</si>
  <si>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</si>
  <si>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</si>
  <si>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</si>
  <si>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</si>
  <si>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</si>
  <si>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</si>
  <si>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</si>
  <si>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</si>
  <si>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</si>
  <si>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</si>
  <si>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</si>
  <si>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</si>
  <si>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</si>
  <si>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</si>
  <si>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</si>
  <si>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</si>
  <si>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</si>
  <si>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</si>
  <si>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</si>
  <si>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</si>
  <si>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</si>
  <si>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</si>
  <si>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</si>
  <si>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</si>
  <si>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</si>
  <si>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</si>
  <si>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</si>
  <si>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</si>
  <si>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</si>
  <si>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</si>
  <si>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</si>
  <si>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</si>
  <si>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</si>
  <si>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</si>
  <si>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</si>
  <si>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</si>
  <si>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</si>
  <si>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</si>
  <si>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</si>
  <si>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</si>
  <si>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</si>
  <si>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</si>
  <si>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</si>
  <si>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</si>
  <si>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</si>
  <si>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</si>
  <si>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</si>
  <si>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</si>
  <si>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</si>
  <si>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</si>
  <si>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</si>
  <si>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</si>
  <si>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</si>
  <si>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</si>
  <si>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</si>
  <si>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</si>
  <si>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</si>
  <si>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</si>
  <si>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</si>
  <si>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</si>
  <si>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</si>
  <si>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</si>
  <si>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</si>
  <si>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</si>
  <si>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</si>
  <si>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</si>
  <si>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</si>
  <si>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</si>
  <si>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</si>
  <si>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</si>
  <si>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</si>
  <si>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</si>
  <si>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 (days)</t>
  </si>
  <si>
    <t>Net Income</t>
  </si>
  <si>
    <t xml:space="preserve"> + D&amp;A and other noncash charges</t>
  </si>
  <si>
    <t xml:space="preserve"> + Interest * (1 - tax rate)</t>
  </si>
  <si>
    <t xml:space="preserve"> - Capital expenditures</t>
  </si>
  <si>
    <t xml:space="preserve"> + Change in Working Capital</t>
  </si>
  <si>
    <t>Free Cash Flow to Firm</t>
  </si>
  <si>
    <t>Tax Rate (Income Tax Paid/Net Income)</t>
  </si>
  <si>
    <t>Share Price</t>
  </si>
  <si>
    <t>YoY growth in these metrics</t>
  </si>
  <si>
    <t>Equity Value</t>
  </si>
  <si>
    <t>Enterprise Value</t>
  </si>
  <si>
    <t xml:space="preserve"> + Debt</t>
  </si>
  <si>
    <t xml:space="preserve"> - Cash</t>
  </si>
  <si>
    <t>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</si>
</sst>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0658E"/>
        <bgColor theme="7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5" borderId="4"/>
  </cellStyleXfs>
  <cellXfs count="4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4" fontId="0" fillId="0" borderId="0" xfId="1" applyNumberFormat="1" applyFont="1" applyAlignment="1">
      <alignment horizontal="left" indent="2"/>
    </xf>
    <xf numFmtId="166" fontId="8" fillId="5" borderId="0" xfId="4" applyNumberFormat="1" applyBorder="1"/>
    <xf numFmtId="0" fontId="3" fillId="0" borderId="0" xfId="0" applyFont="1" applyFill="1" applyAlignment="1">
      <alignment horizontal="center"/>
    </xf>
    <xf numFmtId="9" fontId="0" fillId="0" borderId="0" xfId="3" applyFont="1"/>
    <xf numFmtId="167" fontId="0" fillId="0" borderId="0" xfId="0" applyNumberFormat="1"/>
    <xf numFmtId="2" fontId="0" fillId="0" borderId="3" xfId="1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0" fontId="0" fillId="0" borderId="0" xfId="0" quotePrefix="1"/>
    <xf numFmtId="0" fontId="2" fillId="6" borderId="0" xfId="0" applyFont="1" applyFill="1"/>
    <xf numFmtId="164" fontId="0" fillId="0" borderId="0" xfId="0" applyNumberFormat="1"/>
    <xf numFmtId="164" fontId="0" fillId="0" borderId="5" xfId="1" applyNumberFormat="1" applyFont="1" applyBorder="1"/>
    <xf numFmtId="164" fontId="0" fillId="0" borderId="0" xfId="1" applyNumberFormat="1" applyFont="1" applyBorder="1"/>
    <xf numFmtId="9" fontId="0" fillId="0" borderId="0" xfId="0" applyNumberFormat="1"/>
  </cellXfs>
  <cellStyles count="5">
    <cellStyle name="Comma" xfId="1" builtinId="3"/>
    <cellStyle name="Hyperlink" xfId="2" builtinId="8"/>
    <cellStyle name="Normal" xfId="0" builtinId="0"/>
    <cellStyle name="Percent" xfId="3" builtinId="5"/>
    <cellStyle name="Plu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A22" sqref="A22:A24"/>
    </sheetView>
  </sheetViews>
  <sheetFormatPr defaultRowHeight="14.25" x14ac:dyDescent="0.65"/>
  <cols>
    <col min="1" max="1" width="104.54296875" customWidth="1"/>
  </cols>
  <sheetData>
    <row r="1" spans="1:1" ht="23" x14ac:dyDescent="1">
      <c r="A1" s="5" t="s">
        <v>87</v>
      </c>
    </row>
    <row r="3" spans="1:1" x14ac:dyDescent="0.65">
      <c r="A3" s="7" t="s">
        <v>140</v>
      </c>
    </row>
    <row r="4" spans="1:1" x14ac:dyDescent="0.65">
      <c r="A4" s="16" t="s">
        <v>88</v>
      </c>
    </row>
    <row r="5" spans="1:1" x14ac:dyDescent="0.65">
      <c r="A5" s="7" t="s">
        <v>97</v>
      </c>
    </row>
    <row r="6" spans="1:1" x14ac:dyDescent="0.65">
      <c r="A6" s="1" t="s">
        <v>147</v>
      </c>
    </row>
    <row r="7" spans="1:1" x14ac:dyDescent="0.65">
      <c r="A7" s="1"/>
    </row>
    <row r="8" spans="1:1" x14ac:dyDescent="0.65">
      <c r="A8" s="17" t="s">
        <v>148</v>
      </c>
    </row>
    <row r="9" spans="1:1" x14ac:dyDescent="0.65">
      <c r="A9" s="1" t="s">
        <v>144</v>
      </c>
    </row>
    <row r="10" spans="1:1" x14ac:dyDescent="0.65">
      <c r="A10" s="1" t="s">
        <v>89</v>
      </c>
    </row>
    <row r="11" spans="1:1" x14ac:dyDescent="0.65">
      <c r="A11" s="1" t="s">
        <v>90</v>
      </c>
    </row>
    <row r="12" spans="1:1" x14ac:dyDescent="0.65">
      <c r="A12" s="1" t="s">
        <v>91</v>
      </c>
    </row>
    <row r="13" spans="1:1" x14ac:dyDescent="0.65">
      <c r="A13" s="1"/>
    </row>
    <row r="14" spans="1:1" x14ac:dyDescent="0.65">
      <c r="A14" s="17" t="s">
        <v>92</v>
      </c>
    </row>
    <row r="15" spans="1:1" x14ac:dyDescent="0.65">
      <c r="A15" s="1" t="s">
        <v>145</v>
      </c>
    </row>
    <row r="16" spans="1:1" x14ac:dyDescent="0.65">
      <c r="A16" s="1" t="s">
        <v>89</v>
      </c>
    </row>
    <row r="17" spans="1:1" x14ac:dyDescent="0.65">
      <c r="A17" s="1" t="s">
        <v>90</v>
      </c>
    </row>
    <row r="18" spans="1:1" x14ac:dyDescent="0.65">
      <c r="A18" s="1" t="s">
        <v>14</v>
      </c>
    </row>
    <row r="19" spans="1:1" x14ac:dyDescent="0.65">
      <c r="A19" s="1" t="s">
        <v>93</v>
      </c>
    </row>
    <row r="20" spans="1:1" x14ac:dyDescent="0.65">
      <c r="A20" s="1"/>
    </row>
    <row r="21" spans="1:1" x14ac:dyDescent="0.65">
      <c r="A21" s="17" t="s">
        <v>98</v>
      </c>
    </row>
    <row r="22" spans="1:1" x14ac:dyDescent="0.65">
      <c r="A22" s="1" t="s">
        <v>94</v>
      </c>
    </row>
    <row r="23" spans="1:1" x14ac:dyDescent="0.65">
      <c r="A23" s="1" t="s">
        <v>95</v>
      </c>
    </row>
    <row r="24" spans="1:1" x14ac:dyDescent="0.65">
      <c r="A24" s="1" t="s">
        <v>96</v>
      </c>
    </row>
    <row r="25" spans="1:1" x14ac:dyDescent="0.65">
      <c r="A25" s="1"/>
    </row>
    <row r="26" spans="1:1" x14ac:dyDescent="0.65">
      <c r="A26" s="17" t="s">
        <v>143</v>
      </c>
    </row>
    <row r="27" spans="1:1" x14ac:dyDescent="0.65">
      <c r="A27" s="16" t="s">
        <v>142</v>
      </c>
    </row>
    <row r="29" spans="1:1" x14ac:dyDescent="0.65">
      <c r="A29" s="7" t="s">
        <v>146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opLeftCell="A41" workbookViewId="0">
      <selection activeCell="A53" sqref="A53"/>
    </sheetView>
  </sheetViews>
  <sheetFormatPr defaultRowHeight="14.25" x14ac:dyDescent="0.65"/>
  <cols>
    <col min="1" max="1" width="59" customWidth="1"/>
    <col min="2" max="3" width="11.54296875" bestFit="1" customWidth="1"/>
    <col min="4" max="4" width="11.6796875" bestFit="1" customWidth="1"/>
  </cols>
  <sheetData>
    <row r="1" spans="1:10" ht="60" customHeight="1" x14ac:dyDescent="0.6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65">
      <c r="A2" s="32" t="s">
        <v>1</v>
      </c>
      <c r="B2" s="32"/>
      <c r="C2" s="32"/>
      <c r="D2" s="32"/>
    </row>
    <row r="3" spans="1:10" x14ac:dyDescent="0.65">
      <c r="B3" s="31" t="s">
        <v>23</v>
      </c>
      <c r="C3" s="31"/>
      <c r="D3" s="31"/>
    </row>
    <row r="4" spans="1:10" x14ac:dyDescent="0.65">
      <c r="B4" s="7">
        <v>2022</v>
      </c>
      <c r="C4" s="7">
        <v>2021</v>
      </c>
      <c r="D4" s="7">
        <v>2020</v>
      </c>
    </row>
    <row r="5" spans="1:10" x14ac:dyDescent="0.65">
      <c r="A5" t="s">
        <v>3</v>
      </c>
    </row>
    <row r="6" spans="1:10" x14ac:dyDescent="0.6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6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6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65">
      <c r="A9" t="s">
        <v>7</v>
      </c>
      <c r="B9" s="12"/>
      <c r="C9" s="12"/>
      <c r="D9" s="12"/>
    </row>
    <row r="10" spans="1:10" x14ac:dyDescent="0.6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6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6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6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65">
      <c r="A14" t="s">
        <v>10</v>
      </c>
      <c r="B14" s="12"/>
      <c r="C14" s="12"/>
      <c r="D14" s="12"/>
    </row>
    <row r="15" spans="1:10" x14ac:dyDescent="0.6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6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6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21" customFormat="1" x14ac:dyDescent="0.6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6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6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65">
      <c r="A21" t="s">
        <v>17</v>
      </c>
      <c r="B21" s="12">
        <v>19300</v>
      </c>
      <c r="C21" s="12">
        <v>14527</v>
      </c>
      <c r="D21" s="12">
        <v>9680</v>
      </c>
    </row>
    <row r="22" spans="1:6" ht="14.5" thickBot="1" x14ac:dyDescent="0.7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4.5" thickTop="1" x14ac:dyDescent="0.65">
      <c r="A23" t="s">
        <v>19</v>
      </c>
      <c r="F23" s="29"/>
    </row>
    <row r="24" spans="1:6" x14ac:dyDescent="0.6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6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65">
      <c r="A26" t="s">
        <v>22</v>
      </c>
    </row>
    <row r="27" spans="1:6" x14ac:dyDescent="0.65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65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65">
      <c r="A31" s="32" t="s">
        <v>24</v>
      </c>
      <c r="B31" s="32"/>
      <c r="C31" s="32"/>
      <c r="D31" s="32"/>
    </row>
    <row r="32" spans="1:6" x14ac:dyDescent="0.65">
      <c r="B32" s="31" t="s">
        <v>141</v>
      </c>
      <c r="C32" s="31"/>
      <c r="D32" s="31"/>
    </row>
    <row r="33" spans="1:4" x14ac:dyDescent="0.6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65">
      <c r="A35" t="s">
        <v>25</v>
      </c>
    </row>
    <row r="36" spans="1:4" x14ac:dyDescent="0.6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6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6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6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6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6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6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65">
      <c r="A43" t="s">
        <v>48</v>
      </c>
      <c r="B43" s="12"/>
      <c r="C43" s="12"/>
      <c r="D43" s="12"/>
    </row>
    <row r="44" spans="1:4" x14ac:dyDescent="0.6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6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6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6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4.5" thickBot="1" x14ac:dyDescent="0.7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4.5" thickTop="1" x14ac:dyDescent="0.65"/>
    <row r="50" spans="1:4" x14ac:dyDescent="0.65">
      <c r="A50" t="s">
        <v>34</v>
      </c>
    </row>
    <row r="51" spans="1:4" x14ac:dyDescent="0.6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6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6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6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6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6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65">
      <c r="A57" t="s">
        <v>51</v>
      </c>
      <c r="B57" s="12"/>
      <c r="C57" s="12"/>
      <c r="D57" s="12"/>
    </row>
    <row r="58" spans="1:4" x14ac:dyDescent="0.65">
      <c r="A58" s="1" t="s">
        <v>37</v>
      </c>
      <c r="B58" s="12"/>
      <c r="C58" s="12"/>
      <c r="D58" s="12"/>
    </row>
    <row r="59" spans="1:4" x14ac:dyDescent="0.6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6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6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6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65">
      <c r="B63" s="12"/>
      <c r="C63" s="12"/>
      <c r="D63" s="12"/>
    </row>
    <row r="64" spans="1:4" x14ac:dyDescent="0.65">
      <c r="A64" t="s">
        <v>42</v>
      </c>
      <c r="B64" s="12"/>
      <c r="C64" s="12"/>
      <c r="D64" s="12"/>
    </row>
    <row r="65" spans="1:4" x14ac:dyDescent="0.6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6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6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6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4.5" thickBot="1" x14ac:dyDescent="0.7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4.5" thickTop="1" x14ac:dyDescent="0.65"/>
    <row r="71" spans="1:4" x14ac:dyDescent="0.65">
      <c r="A71" s="32" t="s">
        <v>55</v>
      </c>
      <c r="B71" s="32"/>
      <c r="C71" s="32"/>
      <c r="D71" s="32"/>
    </row>
    <row r="72" spans="1:4" x14ac:dyDescent="0.65">
      <c r="B72" s="31" t="s">
        <v>23</v>
      </c>
      <c r="C72" s="31"/>
      <c r="D72" s="31"/>
    </row>
    <row r="73" spans="1:4" x14ac:dyDescent="0.6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65">
      <c r="A75" s="7" t="s">
        <v>56</v>
      </c>
      <c r="B75" s="15"/>
      <c r="C75" s="15"/>
      <c r="D75" s="15"/>
    </row>
    <row r="76" spans="1:4" x14ac:dyDescent="0.6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65">
      <c r="A77" s="11" t="s">
        <v>18</v>
      </c>
      <c r="B77" s="15"/>
      <c r="C77" s="15"/>
      <c r="D77" s="15"/>
    </row>
    <row r="78" spans="1:4" x14ac:dyDescent="0.65">
      <c r="A78" s="1" t="s">
        <v>58</v>
      </c>
      <c r="B78" s="12"/>
      <c r="C78" s="12"/>
      <c r="D78" s="12"/>
    </row>
    <row r="79" spans="1:4" x14ac:dyDescent="0.6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6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6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6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65">
      <c r="A83" t="s">
        <v>62</v>
      </c>
      <c r="B83" s="12"/>
      <c r="C83" s="12"/>
      <c r="D83" s="12"/>
    </row>
    <row r="84" spans="1:4" x14ac:dyDescent="0.6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6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6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6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6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6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6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6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65">
      <c r="A92" s="7" t="s">
        <v>64</v>
      </c>
      <c r="B92" s="12"/>
      <c r="C92" s="12"/>
      <c r="D92" s="12"/>
    </row>
    <row r="93" spans="1:4" x14ac:dyDescent="0.6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6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6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6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6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6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6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65">
      <c r="A100" s="7" t="s">
        <v>71</v>
      </c>
      <c r="B100" s="12"/>
      <c r="C100" s="12"/>
      <c r="D100" s="12"/>
    </row>
    <row r="101" spans="1:4" x14ac:dyDescent="0.6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6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6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6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6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6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6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6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6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4.5" thickBot="1" x14ac:dyDescent="0.7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5" thickTop="1" x14ac:dyDescent="0.65">
      <c r="B111" s="12"/>
      <c r="C111" s="12"/>
      <c r="D111" s="12"/>
    </row>
    <row r="112" spans="1:4" x14ac:dyDescent="0.65">
      <c r="A112" t="s">
        <v>80</v>
      </c>
      <c r="B112" s="12"/>
      <c r="C112" s="12"/>
      <c r="D112" s="12"/>
    </row>
    <row r="113" spans="1:4" x14ac:dyDescent="0.6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6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B1" sqref="B1"/>
    </sheetView>
  </sheetViews>
  <sheetFormatPr defaultRowHeight="14.25" x14ac:dyDescent="0.65"/>
  <cols>
    <col min="1" max="1" width="4.6796875" customWidth="1"/>
    <col min="2" max="2" width="44.86328125" customWidth="1"/>
    <col min="3" max="3" width="9.1796875" bestFit="1" customWidth="1"/>
    <col min="4" max="5" width="10.1796875" bestFit="1" customWidth="1"/>
    <col min="8" max="8" width="28.90625" bestFit="1" customWidth="1"/>
  </cols>
  <sheetData>
    <row r="1" spans="1:10" ht="60" customHeight="1" x14ac:dyDescent="1.1000000000000001">
      <c r="A1" s="6"/>
      <c r="B1" s="20" t="s">
        <v>0</v>
      </c>
      <c r="C1" s="19"/>
      <c r="D1" s="19"/>
      <c r="E1" s="19"/>
      <c r="F1" s="19"/>
      <c r="G1" s="19"/>
      <c r="H1" s="27"/>
      <c r="I1" s="27"/>
      <c r="J1" s="27"/>
    </row>
    <row r="2" spans="1:10" x14ac:dyDescent="0.65">
      <c r="C2" s="31" t="s">
        <v>23</v>
      </c>
      <c r="D2" s="31"/>
      <c r="E2" s="31"/>
    </row>
    <row r="3" spans="1:10" x14ac:dyDescent="0.6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65">
      <c r="A4" s="18">
        <v>1</v>
      </c>
      <c r="B4" s="7" t="s">
        <v>99</v>
      </c>
    </row>
    <row r="5" spans="1:10" x14ac:dyDescent="0.6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65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65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65">
      <c r="A8" s="18">
        <f t="shared" si="0"/>
        <v>1.4000000000000004</v>
      </c>
      <c r="B8" s="1" t="s">
        <v>149</v>
      </c>
      <c r="C8" s="25">
        <f>'Financial Statements'!B42/('Financial Statements'!B17/365)</f>
        <v>962.56354075372474</v>
      </c>
      <c r="D8" s="25">
        <f>'Financial Statements'!C42/('Financial Statements'!C17/365)</f>
        <v>1121.4058832911796</v>
      </c>
      <c r="E8" s="25">
        <f>'Financial Statements'!D42/('Financial Statements'!D17/365)</f>
        <v>1356.5543860556534</v>
      </c>
    </row>
    <row r="9" spans="1:10" x14ac:dyDescent="0.65">
      <c r="A9" s="18">
        <f t="shared" si="0"/>
        <v>1.5000000000000004</v>
      </c>
      <c r="B9" s="1" t="s">
        <v>103</v>
      </c>
      <c r="C9" s="24">
        <f>('Financial Statements'!B39/'Financial Statements'!B10)*365</f>
        <v>8.96054519012662</v>
      </c>
      <c r="D9" s="24">
        <f>('Financial Statements'!C39/'Financial Statements'!C10)*365</f>
        <v>12.491548167642746</v>
      </c>
      <c r="E9" s="24">
        <f>('Financial Statements'!D39/'Financial Statements'!D10)*365</f>
        <v>9.797767143027114</v>
      </c>
    </row>
    <row r="10" spans="1:10" x14ac:dyDescent="0.65">
      <c r="A10" s="18">
        <f t="shared" si="0"/>
        <v>1.6000000000000005</v>
      </c>
      <c r="B10" s="1" t="s">
        <v>104</v>
      </c>
      <c r="C10" s="24">
        <f>'Financial Statements'!B51/'Financial Statements'!B10*365</f>
        <v>116.15555092296162</v>
      </c>
      <c r="D10" s="24">
        <f>'Financial Statements'!C51/'Financial Statements'!C10*365</f>
        <v>103.9627131162036</v>
      </c>
      <c r="E10" s="24">
        <f>'Financial Statements'!D51/'Financial Statements'!D10*365</f>
        <v>102.04539745911717</v>
      </c>
    </row>
    <row r="11" spans="1:10" x14ac:dyDescent="0.65">
      <c r="A11" s="18">
        <f t="shared" si="0"/>
        <v>1.7000000000000006</v>
      </c>
      <c r="B11" s="1" t="s">
        <v>105</v>
      </c>
      <c r="C11" s="24">
        <f>'Financial Statements'!B38/'Financial Statements'!B6*365</f>
        <v>32.533815729967522</v>
      </c>
      <c r="D11" s="24">
        <f>'Financial Statements'!C38/'Financial Statements'!C6*365</f>
        <v>32.251943562705115</v>
      </c>
      <c r="E11" s="24">
        <f>'Financial Statements'!D38/'Financial Statements'!D6*365</f>
        <v>26.654042863549677</v>
      </c>
    </row>
    <row r="12" spans="1:10" x14ac:dyDescent="0.65">
      <c r="A12" s="18">
        <f t="shared" si="0"/>
        <v>1.8000000000000007</v>
      </c>
      <c r="B12" s="1" t="s">
        <v>106</v>
      </c>
      <c r="C12" s="24">
        <f>C11+C9-C10</f>
        <v>-74.661190002867485</v>
      </c>
      <c r="D12" s="24">
        <f>D11+D9-D10</f>
        <v>-59.219221385855739</v>
      </c>
      <c r="E12" s="24">
        <f>E11+E9-E10</f>
        <v>-65.593587452540376</v>
      </c>
    </row>
    <row r="13" spans="1:10" x14ac:dyDescent="0.65">
      <c r="A13" s="18">
        <f t="shared" si="0"/>
        <v>1.9000000000000008</v>
      </c>
      <c r="B13" s="1" t="s">
        <v>107</v>
      </c>
      <c r="C13" s="24">
        <f>C14/'Financial Statements'!B8</f>
        <v>-7.8576717859244083E-2</v>
      </c>
      <c r="D13" s="24">
        <f>D14/'Financial Statements'!C8</f>
        <v>-5.9879666609260918E-2</v>
      </c>
      <c r="E13" s="24">
        <f>E14/'Financial Statements'!D8</f>
        <v>-8.0560260823634405E-2</v>
      </c>
    </row>
    <row r="14" spans="1:10" x14ac:dyDescent="0.65">
      <c r="A14" s="18"/>
      <c r="B14" s="3" t="s">
        <v>108</v>
      </c>
      <c r="C14" s="12">
        <f>'Financial Statements'!B39+'Financial Statements'!B38-'Financial Statements'!B51</f>
        <v>-30985</v>
      </c>
      <c r="D14" s="12">
        <f>'Financial Statements'!C39+'Financial Statements'!C38-'Financial Statements'!C51</f>
        <v>-21905</v>
      </c>
      <c r="E14" s="12">
        <f>'Financial Statements'!D39+'Financial Statements'!D38-'Financial Statements'!D51</f>
        <v>-22115</v>
      </c>
    </row>
    <row r="15" spans="1:10" x14ac:dyDescent="0.65">
      <c r="A15" s="18"/>
    </row>
    <row r="16" spans="1:10" x14ac:dyDescent="0.65">
      <c r="A16" s="18">
        <f>+A4+1</f>
        <v>2</v>
      </c>
      <c r="B16" s="17" t="s">
        <v>109</v>
      </c>
    </row>
    <row r="17" spans="1:11" x14ac:dyDescent="0.65">
      <c r="A17" s="18">
        <f>+A16+0.1</f>
        <v>2.1</v>
      </c>
      <c r="B17" s="1" t="s">
        <v>9</v>
      </c>
      <c r="C17" s="24">
        <f>'Financial Statements'!B13/'Financial Statements'!B8</f>
        <v>0.43309630561360085</v>
      </c>
      <c r="D17" s="24">
        <f>'Financial Statements'!C13/'Financial Statements'!C8</f>
        <v>0.41779359625167778</v>
      </c>
      <c r="E17" s="24">
        <f>'Financial Statements'!D13/'Financial Statements'!D8</f>
        <v>0.38233247727810865</v>
      </c>
    </row>
    <row r="18" spans="1:11" x14ac:dyDescent="0.65">
      <c r="A18" s="18">
        <f>+A17+0.1</f>
        <v>2.2000000000000002</v>
      </c>
      <c r="B18" s="1" t="s">
        <v>110</v>
      </c>
      <c r="C18" s="24">
        <f>C19/'Financial Statements'!B8</f>
        <v>0.33746525734921184</v>
      </c>
      <c r="D18" s="24">
        <f>D19/'Financial Statements'!C8</f>
        <v>0.33672027270465832</v>
      </c>
      <c r="E18" s="24">
        <f>E19/'Financial Statements'!D8</f>
        <v>0.29560861883685774</v>
      </c>
    </row>
    <row r="19" spans="1:11" x14ac:dyDescent="0.65">
      <c r="A19" s="18"/>
      <c r="B19" s="3" t="s">
        <v>111</v>
      </c>
      <c r="C19" s="12">
        <f>'Financial Statements'!B22+'Financial Statements'!B79+'Financial Statements'!B21+'Financial Statements'!B114</f>
        <v>133072</v>
      </c>
      <c r="D19" s="12">
        <f>'Financial Statements'!C22+'Financial Statements'!C79+'Financial Statements'!C21+'Financial Statements'!C114</f>
        <v>123178</v>
      </c>
      <c r="E19" s="12">
        <f>'Financial Statements'!D22+'Financial Statements'!D79+'Financial Statements'!D21+'Financial Statements'!D114</f>
        <v>81149</v>
      </c>
    </row>
    <row r="20" spans="1:11" x14ac:dyDescent="0.65">
      <c r="A20" s="18">
        <f>+A18+0.1</f>
        <v>2.3000000000000003</v>
      </c>
      <c r="B20" s="1" t="s">
        <v>112</v>
      </c>
      <c r="C20" s="24">
        <f>C21/'Financial Statements'!B8</f>
        <v>0.30930595849140818</v>
      </c>
      <c r="D20" s="24">
        <f>D21/'Financial Statements'!C8</f>
        <v>0.30587424859970969</v>
      </c>
      <c r="E20" s="24">
        <f>E21/'Financial Statements'!D8</f>
        <v>0.25533395260732566</v>
      </c>
    </row>
    <row r="21" spans="1:11" x14ac:dyDescent="0.65">
      <c r="A21" s="18"/>
      <c r="B21" s="3" t="s">
        <v>113</v>
      </c>
      <c r="C21" s="12">
        <f>'Financial Statements'!B22+'Financial Statements'!B21+'Financial Statements'!B114</f>
        <v>121968</v>
      </c>
      <c r="D21" s="12">
        <f>'Financial Statements'!C22+'Financial Statements'!C21+'Financial Statements'!C114</f>
        <v>111894</v>
      </c>
      <c r="E21" s="12">
        <f>'Financial Statements'!D22+'Financial Statements'!D21+'Financial Statements'!D114</f>
        <v>70093</v>
      </c>
    </row>
    <row r="22" spans="1:11" x14ac:dyDescent="0.65">
      <c r="A22" s="18">
        <f>+A20+0.1</f>
        <v>2.4000000000000004</v>
      </c>
      <c r="B22" s="1" t="s">
        <v>114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11" x14ac:dyDescent="0.65">
      <c r="A23" s="18"/>
      <c r="I23" s="31" t="s">
        <v>23</v>
      </c>
      <c r="J23" s="31"/>
      <c r="K23" s="31"/>
    </row>
    <row r="24" spans="1:11" x14ac:dyDescent="0.65">
      <c r="A24" s="18">
        <f>+A16+1</f>
        <v>3</v>
      </c>
      <c r="B24" s="7" t="s">
        <v>115</v>
      </c>
      <c r="I24" s="7">
        <v>2022</v>
      </c>
      <c r="J24" s="7">
        <v>2021</v>
      </c>
      <c r="K24" s="7">
        <v>2020</v>
      </c>
    </row>
    <row r="25" spans="1:11" x14ac:dyDescent="0.65">
      <c r="A25" s="18">
        <f>+A24+0.1</f>
        <v>3.1</v>
      </c>
      <c r="B25" s="1" t="s">
        <v>116</v>
      </c>
      <c r="C25" s="24">
        <f>'Financial Statements'!B61/'Financial Statements'!B68</f>
        <v>2.9227383959583202</v>
      </c>
      <c r="D25" s="24">
        <f>'Financial Statements'!C61/'Financial Statements'!C68</f>
        <v>2.5745918529085432</v>
      </c>
      <c r="E25" s="24">
        <f>'Financial Statements'!D61/'Financial Statements'!D68</f>
        <v>2.3440364866312615</v>
      </c>
      <c r="H25" t="s">
        <v>150</v>
      </c>
      <c r="I25" s="12">
        <f>'Financial Statements'!B76</f>
        <v>99803</v>
      </c>
      <c r="J25" s="12">
        <f>'Financial Statements'!C76</f>
        <v>94680</v>
      </c>
      <c r="K25" s="12">
        <f>'Financial Statements'!D76</f>
        <v>57411</v>
      </c>
    </row>
    <row r="26" spans="1:11" x14ac:dyDescent="0.65">
      <c r="A26" s="18">
        <f t="shared" ref="A26:A30" si="1">+A25+0.1</f>
        <v>3.2</v>
      </c>
      <c r="B26" s="1" t="s">
        <v>117</v>
      </c>
      <c r="C26" s="24">
        <f>'Financial Statements'!B61/'Financial Statements'!B48</f>
        <v>0.41984096610962285</v>
      </c>
      <c r="D26" s="24">
        <f>'Financial Statements'!C61/'Financial Statements'!C48</f>
        <v>0.46276374493592631</v>
      </c>
      <c r="E26" s="24">
        <f>'Financial Statements'!D61/'Financial Statements'!D48</f>
        <v>0.47287025144494393</v>
      </c>
      <c r="H26" t="s">
        <v>151</v>
      </c>
      <c r="I26" s="12">
        <f>'Financial Statements'!B79</f>
        <v>11104</v>
      </c>
      <c r="J26" s="12">
        <f>'Financial Statements'!C79</f>
        <v>11284</v>
      </c>
      <c r="K26" s="12">
        <f>'Financial Statements'!D79</f>
        <v>11056</v>
      </c>
    </row>
    <row r="27" spans="1:11" x14ac:dyDescent="0.65">
      <c r="A27" s="18">
        <f t="shared" si="1"/>
        <v>3.3000000000000003</v>
      </c>
      <c r="B27" s="1" t="s">
        <v>118</v>
      </c>
      <c r="C27" s="24">
        <f>'Financial Statements'!B59/'Financial Statements'!B65</f>
        <v>1.5259911486684452</v>
      </c>
      <c r="D27" s="24">
        <f>'Financial Statements'!C59/'Financial Statements'!C65</f>
        <v>1.9019611261222</v>
      </c>
      <c r="E27" s="24">
        <f>'Financial Statements'!D59/'Financial Statements'!D65</f>
        <v>1.9430670158923964</v>
      </c>
      <c r="H27" t="s">
        <v>152</v>
      </c>
      <c r="I27" s="12">
        <f>'Financial Statements'!B114*(1-C32)</f>
        <v>2394.1752096924511</v>
      </c>
      <c r="J27" s="12">
        <f>'Financial Statements'!C114*(1-D32)</f>
        <v>2062.4109626672284</v>
      </c>
      <c r="K27" s="12">
        <f>'Financial Statements'!D114*(1-E32)</f>
        <v>2576.8758849920255</v>
      </c>
    </row>
    <row r="28" spans="1:11" x14ac:dyDescent="0.65">
      <c r="A28" s="18">
        <f t="shared" si="1"/>
        <v>3.4000000000000004</v>
      </c>
      <c r="B28" s="1" t="s">
        <v>119</v>
      </c>
      <c r="C28" s="24">
        <f>'Financial Statements'!B18/'Financial Statements'!B114</f>
        <v>41.68830715532286</v>
      </c>
      <c r="D28" s="24">
        <f>'Financial Statements'!C18/'Financial Statements'!C114</f>
        <v>40.546706363974693</v>
      </c>
      <c r="E28" s="24">
        <f>'Financial Statements'!D18/'Financial Statements'!D114</f>
        <v>22.081279147235175</v>
      </c>
      <c r="H28" t="s">
        <v>153</v>
      </c>
      <c r="I28" s="12">
        <f>'Financial Statements'!B96+'Financial Statements'!B97</f>
        <v>-11014</v>
      </c>
      <c r="J28" s="12">
        <f>'Financial Statements'!C96+'Financial Statements'!C97</f>
        <v>-11118</v>
      </c>
      <c r="K28" s="12">
        <f>'Financial Statements'!D96+'Financial Statements'!D97</f>
        <v>-8833</v>
      </c>
    </row>
    <row r="29" spans="1:11" x14ac:dyDescent="0.65">
      <c r="A29" s="18">
        <f t="shared" si="1"/>
        <v>3.5000000000000004</v>
      </c>
      <c r="B29" s="1" t="s">
        <v>120</v>
      </c>
      <c r="C29" s="24">
        <f>'Financial Statements'!B76/(-'Financial Statements'!B105+'Financial Statements'!B114)</f>
        <v>8.0434397163120561</v>
      </c>
      <c r="D29" s="24">
        <f>'Financial Statements'!C76/(-'Financial Statements'!C105+'Financial Statements'!C114)</f>
        <v>8.2783946839206077</v>
      </c>
      <c r="E29" s="24">
        <f>'Financial Statements'!D76/(-'Financial Statements'!D105+'Financial Statements'!D114)</f>
        <v>3.6728936088542001</v>
      </c>
      <c r="H29" t="s">
        <v>154</v>
      </c>
      <c r="I29" s="12">
        <f>'Financial Statements'!B84+'Financial Statements'!B85-'Financial Statements'!B88</f>
        <v>-9787</v>
      </c>
      <c r="J29" s="12">
        <f>'Financial Statements'!C84+'Financial Statements'!C85-'Financial Statements'!C88</f>
        <v>-25093</v>
      </c>
      <c r="K29" s="12">
        <f>'Financial Statements'!D84+'Financial Statements'!D85-'Financial Statements'!D88</f>
        <v>10852</v>
      </c>
    </row>
    <row r="30" spans="1:11" x14ac:dyDescent="0.65">
      <c r="A30" s="18">
        <f t="shared" si="1"/>
        <v>3.6000000000000005</v>
      </c>
      <c r="B30" s="1" t="s">
        <v>121</v>
      </c>
      <c r="C30" s="30">
        <f>(C31/'Financial Statements'!B27)*1000</f>
        <v>5.7042665433864421</v>
      </c>
      <c r="D30" s="30">
        <f>(D31/'Financial Statements'!C27)*1000</f>
        <v>4.2999964890498896</v>
      </c>
      <c r="E30" s="30">
        <f>(E31/'Financial Statements'!D27)*1000</f>
        <v>4.2106025140210273</v>
      </c>
      <c r="H30" s="26" t="s">
        <v>155</v>
      </c>
      <c r="I30" s="22">
        <f>SUM(I25:I29)</f>
        <v>92500.175209692447</v>
      </c>
      <c r="J30" s="22">
        <f t="shared" ref="J30:K30" si="2">SUM(J25:J29)</f>
        <v>71815.410962667229</v>
      </c>
      <c r="K30" s="22">
        <f t="shared" si="2"/>
        <v>73062.875884992027</v>
      </c>
    </row>
    <row r="31" spans="1:11" x14ac:dyDescent="0.65">
      <c r="A31" s="18"/>
      <c r="B31" s="3" t="s">
        <v>122</v>
      </c>
      <c r="C31" s="22">
        <f>I30</f>
        <v>92500.175209692447</v>
      </c>
      <c r="D31" s="22">
        <f t="shared" ref="D31:E31" si="3">J30</f>
        <v>71815.410962667229</v>
      </c>
      <c r="E31" s="22">
        <f t="shared" si="3"/>
        <v>73062.875884992027</v>
      </c>
    </row>
    <row r="32" spans="1:11" x14ac:dyDescent="0.65">
      <c r="A32" s="18"/>
      <c r="B32" s="11" t="s">
        <v>156</v>
      </c>
      <c r="C32" s="28">
        <f>'Financial Statements'!B113/'Financial Statements'!B20</f>
        <v>0.1643367505436471</v>
      </c>
      <c r="D32" s="28">
        <f>'Financial Statements'!C113/'Financial Statements'!C20</f>
        <v>0.23244846942045841</v>
      </c>
      <c r="E32" s="28">
        <f>'Financial Statements'!D113/'Financial Statements'!D20</f>
        <v>0.14161362924982487</v>
      </c>
    </row>
    <row r="33" spans="1:11" x14ac:dyDescent="0.65">
      <c r="A33" s="18"/>
      <c r="C33" s="24"/>
      <c r="D33" s="24"/>
      <c r="E33" s="24"/>
    </row>
    <row r="34" spans="1:11" x14ac:dyDescent="0.65">
      <c r="A34" s="18">
        <f>+A24+1</f>
        <v>4</v>
      </c>
      <c r="B34" s="17" t="s">
        <v>123</v>
      </c>
      <c r="C34" s="24"/>
      <c r="D34" s="24"/>
      <c r="E34" s="24"/>
    </row>
    <row r="35" spans="1:11" x14ac:dyDescent="0.65">
      <c r="A35" s="18">
        <f>+A34+0.1</f>
        <v>4.0999999999999996</v>
      </c>
      <c r="B35" s="1" t="s">
        <v>124</v>
      </c>
      <c r="C35" s="24">
        <f>'Financial Statements'!B8/'Financial Statements'!B48</f>
        <v>1.1178523337727317</v>
      </c>
      <c r="D35" s="24">
        <f>'Financial Statements'!C8/'Financial Statements'!C48</f>
        <v>1.0422077367080529</v>
      </c>
      <c r="E35" s="24">
        <f>'Financial Statements'!D8/'Financial Statements'!D48</f>
        <v>0.84756150274168851</v>
      </c>
    </row>
    <row r="36" spans="1:11" x14ac:dyDescent="0.65">
      <c r="A36" s="18">
        <f t="shared" ref="A36:A38" si="4">+A35+0.1</f>
        <v>4.1999999999999993</v>
      </c>
      <c r="B36" s="1" t="s">
        <v>125</v>
      </c>
      <c r="C36" s="24">
        <f>'Financial Statements'!B8/'Financial Statements'!B47</f>
        <v>1.8142535081665516</v>
      </c>
      <c r="D36" s="24">
        <f>'Financial Statements'!C8/'Financial Statements'!C47</f>
        <v>1.6922966608994938</v>
      </c>
      <c r="E36" s="24">
        <f>'Financial Statements'!D8/'Financial Statements'!D47</f>
        <v>1.5236020535590398</v>
      </c>
    </row>
    <row r="37" spans="1:11" x14ac:dyDescent="0.65">
      <c r="A37" s="18">
        <f t="shared" si="4"/>
        <v>4.2999999999999989</v>
      </c>
      <c r="B37" s="1" t="s">
        <v>126</v>
      </c>
      <c r="C37" s="24">
        <f>'Financial Statements'!B10/'Financial Statements'!B39</f>
        <v>40.734128588758594</v>
      </c>
      <c r="D37" s="24">
        <f>'Financial Statements'!C10/'Financial Statements'!C39</f>
        <v>29.219756838905774</v>
      </c>
      <c r="E37" s="24">
        <f>'Financial Statements'!D10/'Financial Statements'!D39</f>
        <v>37.253385865550356</v>
      </c>
    </row>
    <row r="38" spans="1:11" x14ac:dyDescent="0.65">
      <c r="A38" s="18">
        <f t="shared" si="4"/>
        <v>4.3999999999999986</v>
      </c>
      <c r="B38" s="1" t="s">
        <v>127</v>
      </c>
      <c r="C38" s="24">
        <f>'Financial Statements'!B22/'Financial Statements'!B48</f>
        <v>0.28292440929256851</v>
      </c>
      <c r="D38" s="24">
        <f>'Financial Statements'!C22/'Financial Statements'!C48</f>
        <v>0.26974205275183616</v>
      </c>
      <c r="E38" s="24">
        <f>'Financial Statements'!D22/'Financial Statements'!D48</f>
        <v>0.1772557180259843</v>
      </c>
    </row>
    <row r="39" spans="1:11" x14ac:dyDescent="0.65">
      <c r="A39" s="18"/>
    </row>
    <row r="40" spans="1:11" x14ac:dyDescent="0.65">
      <c r="A40" s="18">
        <f>+A34+1</f>
        <v>5</v>
      </c>
      <c r="B40" s="17" t="s">
        <v>128</v>
      </c>
    </row>
    <row r="41" spans="1:11" x14ac:dyDescent="0.65">
      <c r="A41" s="18">
        <f>+A40+0.1</f>
        <v>5.0999999999999996</v>
      </c>
      <c r="B41" s="1" t="s">
        <v>129</v>
      </c>
      <c r="C41" s="24">
        <f>C42/C43</f>
        <v>21.126829268292681</v>
      </c>
      <c r="D41" s="24">
        <f t="shared" ref="D41:E41" si="5">D42/D43</f>
        <v>31.317460317460316</v>
      </c>
      <c r="E41" s="24">
        <f t="shared" si="5"/>
        <v>40.087613293051355</v>
      </c>
    </row>
    <row r="42" spans="1:11" x14ac:dyDescent="0.65">
      <c r="A42" s="18"/>
      <c r="B42" s="3" t="s">
        <v>157</v>
      </c>
      <c r="C42">
        <v>129.93</v>
      </c>
      <c r="D42">
        <v>177.57</v>
      </c>
      <c r="E42">
        <v>132.69</v>
      </c>
    </row>
    <row r="43" spans="1:11" x14ac:dyDescent="0.65">
      <c r="A43" s="18">
        <f>+A41+0.1</f>
        <v>5.1999999999999993</v>
      </c>
      <c r="B43" s="1" t="s">
        <v>130</v>
      </c>
      <c r="C43">
        <f>'Financial Statements'!B24</f>
        <v>6.15</v>
      </c>
      <c r="D43">
        <f>'Financial Statements'!C24</f>
        <v>5.67</v>
      </c>
      <c r="E43">
        <f>'Financial Statements'!D24</f>
        <v>3.31</v>
      </c>
    </row>
    <row r="44" spans="1:11" x14ac:dyDescent="0.65">
      <c r="A44" s="18">
        <f t="shared" ref="A44:A46" si="6">+A43+0.1</f>
        <v>5.2999999999999989</v>
      </c>
      <c r="B44" s="1" t="s">
        <v>131</v>
      </c>
      <c r="C44" s="24">
        <f>C42/C45</f>
        <v>41.579966699360597</v>
      </c>
      <c r="D44" s="24">
        <f t="shared" ref="D44:E44" si="7">D42/D45</f>
        <v>47.006575828815976</v>
      </c>
      <c r="E44" s="24">
        <f t="shared" si="7"/>
        <v>35.238566095440703</v>
      </c>
    </row>
    <row r="45" spans="1:11" x14ac:dyDescent="0.65">
      <c r="A45" s="18">
        <f t="shared" si="6"/>
        <v>5.3999999999999986</v>
      </c>
      <c r="B45" s="3" t="s">
        <v>132</v>
      </c>
      <c r="C45" s="24">
        <f>'Financial Statements'!B68/'Financial Statements'!B27*1000</f>
        <v>3.124822127430853</v>
      </c>
      <c r="D45" s="24">
        <f>'Financial Statements'!C68/'Financial Statements'!C27*1000</f>
        <v>3.7775565837141025</v>
      </c>
      <c r="E45" s="24">
        <f>'Financial Statements'!D68/'Financial Statements'!D27*1000</f>
        <v>3.765476712094932</v>
      </c>
    </row>
    <row r="46" spans="1:11" x14ac:dyDescent="0.65">
      <c r="A46" s="18">
        <f t="shared" si="6"/>
        <v>5.4999999999999982</v>
      </c>
      <c r="B46" s="1" t="s">
        <v>133</v>
      </c>
      <c r="C46" s="33">
        <f>C47/C43</f>
        <v>0.14881451886066324</v>
      </c>
      <c r="D46" s="33">
        <f t="shared" ref="D46:E46" si="8">D47/D43</f>
        <v>0.15277274199029781</v>
      </c>
      <c r="E46" s="33">
        <f t="shared" si="8"/>
        <v>0.24516190500128213</v>
      </c>
    </row>
    <row r="47" spans="1:11" x14ac:dyDescent="0.65">
      <c r="A47" s="18"/>
      <c r="B47" s="3" t="s">
        <v>134</v>
      </c>
      <c r="C47" s="24">
        <f>'Financial Statements'!B102/-'Financial Statements'!B27*1000</f>
        <v>0.91520929099307891</v>
      </c>
      <c r="D47" s="24">
        <f>'Financial Statements'!C102/-'Financial Statements'!C27*1000</f>
        <v>0.86622144708498849</v>
      </c>
      <c r="E47" s="24">
        <f>'Financial Statements'!D102/-'Financial Statements'!D27*1000</f>
        <v>0.81148590555424382</v>
      </c>
    </row>
    <row r="48" spans="1:11" x14ac:dyDescent="0.65">
      <c r="A48" s="18">
        <f>+A46+0.1</f>
        <v>5.5999999999999979</v>
      </c>
      <c r="B48" s="1" t="s">
        <v>135</v>
      </c>
      <c r="C48" s="33">
        <f>C47/C42</f>
        <v>7.0438643191955584E-3</v>
      </c>
      <c r="D48" s="33">
        <f t="shared" ref="D48:E48" si="9">D47/D42</f>
        <v>4.8781970326349528E-3</v>
      </c>
      <c r="E48" s="33">
        <f t="shared" si="9"/>
        <v>6.1156523140722275E-3</v>
      </c>
      <c r="I48" s="31" t="s">
        <v>23</v>
      </c>
      <c r="J48" s="31"/>
      <c r="K48" s="31"/>
    </row>
    <row r="49" spans="1:11" x14ac:dyDescent="0.65">
      <c r="A49" s="18">
        <f t="shared" ref="A49:A52" si="10">+A47+0.1</f>
        <v>0.1</v>
      </c>
      <c r="B49" s="1" t="s">
        <v>136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I49" s="7">
        <v>2022</v>
      </c>
      <c r="J49" s="7">
        <v>2021</v>
      </c>
      <c r="K49" s="7">
        <v>2020</v>
      </c>
    </row>
    <row r="50" spans="1:11" x14ac:dyDescent="0.65">
      <c r="A50" s="18">
        <f t="shared" si="10"/>
        <v>5.6999999999999975</v>
      </c>
      <c r="B50" s="1" t="s">
        <v>137</v>
      </c>
      <c r="C50" s="24">
        <f>'Financial Statements'!B20/('Financial Statements'!B68+'Financial Statements'!B61)</f>
        <v>0.59919103701206899</v>
      </c>
      <c r="D50" s="24">
        <f>'Financial Statements'!C20/('Financial Statements'!C68+'Financial Statements'!C61)</f>
        <v>0.48424315252238148</v>
      </c>
      <c r="E50" s="24">
        <f>'Financial Statements'!D20/('Financial Statements'!D68+'Financial Statements'!D61)</f>
        <v>0.30705825278265964</v>
      </c>
      <c r="H50" t="s">
        <v>159</v>
      </c>
      <c r="I50" s="38">
        <f>'Financial Statements'!B68</f>
        <v>50672</v>
      </c>
      <c r="J50" s="38">
        <f>'Financial Statements'!C68</f>
        <v>63090</v>
      </c>
      <c r="K50" s="38">
        <f>'Financial Statements'!D68</f>
        <v>65339</v>
      </c>
    </row>
    <row r="51" spans="1:11" x14ac:dyDescent="0.65">
      <c r="A51" s="18">
        <f t="shared" si="10"/>
        <v>0.2</v>
      </c>
      <c r="B51" s="1" t="s">
        <v>127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H51" s="34" t="s">
        <v>161</v>
      </c>
      <c r="I51" s="38">
        <f>'Financial Statements'!B59</f>
        <v>98959</v>
      </c>
      <c r="J51" s="38">
        <f>'Financial Statements'!C59</f>
        <v>109106</v>
      </c>
      <c r="K51" s="38">
        <f>'Financial Statements'!D59</f>
        <v>98667</v>
      </c>
    </row>
    <row r="52" spans="1:11" x14ac:dyDescent="0.65">
      <c r="A52" s="18">
        <f t="shared" si="10"/>
        <v>5.7999999999999972</v>
      </c>
      <c r="B52" s="1" t="s">
        <v>138</v>
      </c>
      <c r="C52" s="24">
        <f>C53/C19</f>
        <v>0.94674311650835641</v>
      </c>
      <c r="D52" s="24">
        <f t="shared" ref="D52:E52" si="11">D53/D19</f>
        <v>1.1142898894283071</v>
      </c>
      <c r="E52" s="24">
        <f t="shared" si="11"/>
        <v>1.5525761253989574</v>
      </c>
      <c r="H52" s="34" t="s">
        <v>162</v>
      </c>
      <c r="I52" s="37">
        <f>-'Financial Statements'!B36</f>
        <v>-23646</v>
      </c>
      <c r="J52" s="37">
        <f>-'Financial Statements'!C36</f>
        <v>-34940</v>
      </c>
      <c r="K52" s="37">
        <f>-'Financial Statements'!D36</f>
        <v>-38016</v>
      </c>
    </row>
    <row r="53" spans="1:11" x14ac:dyDescent="0.65">
      <c r="A53" s="18"/>
      <c r="B53" s="3" t="s">
        <v>139</v>
      </c>
      <c r="C53" s="36">
        <f>I53</f>
        <v>125985</v>
      </c>
      <c r="D53" s="36">
        <f t="shared" ref="D53:E53" si="12">J53</f>
        <v>137256</v>
      </c>
      <c r="E53" s="36">
        <f t="shared" si="12"/>
        <v>125990</v>
      </c>
      <c r="H53" s="35" t="s">
        <v>160</v>
      </c>
      <c r="I53" s="22">
        <f>SUM(I50:I52)</f>
        <v>125985</v>
      </c>
      <c r="J53" s="22">
        <f t="shared" ref="J53:K53" si="13">SUM(J50:J52)</f>
        <v>137256</v>
      </c>
      <c r="K53" s="22">
        <f t="shared" si="13"/>
        <v>125990</v>
      </c>
    </row>
    <row r="55" spans="1:11" x14ac:dyDescent="0.65">
      <c r="A55" s="18">
        <v>6</v>
      </c>
      <c r="B55" s="17" t="s">
        <v>158</v>
      </c>
    </row>
    <row r="56" spans="1:11" x14ac:dyDescent="0.65">
      <c r="A56">
        <v>6.1</v>
      </c>
      <c r="B56" s="1" t="s">
        <v>144</v>
      </c>
    </row>
    <row r="57" spans="1:11" x14ac:dyDescent="0.65">
      <c r="B57" s="3" t="s">
        <v>4</v>
      </c>
      <c r="C57" s="33">
        <f>('Financial Statements'!B6-'Financial Statements'!C6)/'Financial Statements'!C6</f>
        <v>6.3239764351428418E-2</v>
      </c>
      <c r="D57" s="33">
        <f>('Financial Statements'!C6-'Financial Statements'!D6)/'Financial Statements'!D6</f>
        <v>0.34720743656765435</v>
      </c>
    </row>
    <row r="58" spans="1:11" x14ac:dyDescent="0.65">
      <c r="B58" s="3" t="s">
        <v>5</v>
      </c>
      <c r="C58" s="33">
        <f>('Financial Statements'!B7-'Financial Statements'!C7)/'Financial Statements'!C7</f>
        <v>0.14181951041286078</v>
      </c>
      <c r="D58" s="33">
        <f>('Financial Statements'!C7-'Financial Statements'!D7)/'Financial Statements'!D7</f>
        <v>0.27259708376729652</v>
      </c>
    </row>
    <row r="59" spans="1:11" x14ac:dyDescent="0.65">
      <c r="B59" s="3" t="s">
        <v>163</v>
      </c>
      <c r="C59" s="33">
        <f>('Financial Statements'!B8-'Financial Statements'!C8)/'Financial Statements'!C8</f>
        <v>7.7937876041846058E-2</v>
      </c>
      <c r="D59" s="33">
        <f>('Financial Statements'!C8-'Financial Statements'!D8)/'Financial Statements'!D8</f>
        <v>0.33259384733074693</v>
      </c>
    </row>
    <row r="60" spans="1:11" x14ac:dyDescent="0.65">
      <c r="A60" s="18">
        <v>6.2</v>
      </c>
      <c r="B60" s="1" t="s">
        <v>89</v>
      </c>
      <c r="C60" s="33">
        <f>('Financial Statements'!B13-'Financial Statements'!C13)/'Financial Statements'!C13</f>
        <v>0.11741997958596143</v>
      </c>
      <c r="D60" s="33">
        <f>('Financial Statements'!C13-'Financial Statements'!D13)/'Financial Statements'!D13</f>
        <v>0.45619116582186819</v>
      </c>
    </row>
    <row r="61" spans="1:11" x14ac:dyDescent="0.65">
      <c r="A61">
        <v>6.3</v>
      </c>
      <c r="B61" s="1" t="s">
        <v>90</v>
      </c>
      <c r="C61" s="33"/>
      <c r="D61" s="33"/>
    </row>
    <row r="62" spans="1:11" x14ac:dyDescent="0.65">
      <c r="B62" s="3" t="s">
        <v>11</v>
      </c>
      <c r="C62" s="33">
        <f>('Financial Statements'!B15-'Financial Statements'!C15)/'Financial Statements'!C15</f>
        <v>0.19791001186456147</v>
      </c>
      <c r="D62" s="33">
        <f>('Financial Statements'!C15-'Financial Statements'!D15)/'Financial Statements'!D15</f>
        <v>0.16862201365187712</v>
      </c>
    </row>
    <row r="63" spans="1:11" x14ac:dyDescent="0.65">
      <c r="B63" s="3" t="s">
        <v>12</v>
      </c>
      <c r="C63" s="33">
        <f>('Financial Statements'!B16-'Financial Statements'!C16)/'Financial Statements'!C16</f>
        <v>0.14203795567287125</v>
      </c>
      <c r="D63" s="33">
        <f>('Financial Statements'!C16-'Financial Statements'!D16)/'Financial Statements'!D16</f>
        <v>0.10328379192608958</v>
      </c>
    </row>
    <row r="64" spans="1:11" x14ac:dyDescent="0.65">
      <c r="A64" s="18">
        <v>6.4</v>
      </c>
      <c r="B64" s="1" t="s">
        <v>145</v>
      </c>
      <c r="C64" s="33">
        <f>('Financial Statements'!B12-'Financial Statements'!C12)/'Financial Statements'!C12</f>
        <v>4.9605363858747961E-2</v>
      </c>
      <c r="D64" s="33">
        <f>('Financial Statements'!C12-'Financial Statements'!D12)/'Financial Statements'!D12</f>
        <v>0.25608785142634716</v>
      </c>
    </row>
    <row r="65" spans="1:4" x14ac:dyDescent="0.65">
      <c r="A65">
        <v>6.5</v>
      </c>
      <c r="B65" s="1" t="s">
        <v>14</v>
      </c>
      <c r="C65" s="33">
        <f>('Financial Statements'!B18-'Financial Statements'!C18)/'Financial Statements'!C18</f>
        <v>9.6265225013538444E-2</v>
      </c>
      <c r="D65" s="33">
        <f>('Financial Statements'!C18-'Financial Statements'!D18)/'Financial Statements'!D18</f>
        <v>0.64357048032826458</v>
      </c>
    </row>
    <row r="66" spans="1:4" x14ac:dyDescent="0.65">
      <c r="A66" s="18">
        <v>6.6</v>
      </c>
      <c r="B66" s="1" t="s">
        <v>93</v>
      </c>
      <c r="C66" s="33">
        <f>('Financial Statements'!B22-'Financial Statements'!C22)/'Financial Statements'!C22</f>
        <v>5.4108576256865229E-2</v>
      </c>
      <c r="D66" s="33">
        <f>('Financial Statements'!C22-'Financial Statements'!D22)/'Financial Statements'!D22</f>
        <v>0.64916131055024295</v>
      </c>
    </row>
    <row r="67" spans="1:4" x14ac:dyDescent="0.65">
      <c r="A67">
        <v>6.7</v>
      </c>
      <c r="B67" s="1" t="s">
        <v>94</v>
      </c>
      <c r="C67" s="39">
        <f>C32</f>
        <v>0.1643367505436471</v>
      </c>
      <c r="D67" s="39">
        <f t="shared" ref="D67" si="14">D32</f>
        <v>0.23244846942045841</v>
      </c>
    </row>
    <row r="68" spans="1:4" x14ac:dyDescent="0.65">
      <c r="A68" s="18">
        <v>6.8</v>
      </c>
      <c r="B68" s="1" t="s">
        <v>95</v>
      </c>
      <c r="C68" s="33">
        <f>-('Financial Statements'!B96+'Financial Statements'!B97)/'Financial Statements'!B8</f>
        <v>2.7931062465764541E-2</v>
      </c>
      <c r="D68" s="33">
        <f>-('Financial Statements'!C96+'Financial Statements'!C97)/'Financial Statements'!C8</f>
        <v>3.0392245302979359E-2</v>
      </c>
    </row>
    <row r="69" spans="1:4" x14ac:dyDescent="0.65">
      <c r="A69">
        <v>6.9</v>
      </c>
      <c r="B69" s="1" t="s">
        <v>96</v>
      </c>
      <c r="C69" s="33">
        <f>-('Financial Statements'!B96+'Financial Statements'!B97)/'Financial Statements'!B47</f>
        <v>5.0674028065332416E-2</v>
      </c>
      <c r="D69" s="33">
        <f>-('Financial Statements'!C96+'Financial Statements'!C97)/'Financial Statements'!C47</f>
        <v>5.1432695243470293E-2</v>
      </c>
    </row>
    <row r="70" spans="1:4" x14ac:dyDescent="0.65">
      <c r="A70" s="18"/>
    </row>
  </sheetData>
  <mergeCells count="3">
    <mergeCell ref="C2:E2"/>
    <mergeCell ref="I23:K23"/>
    <mergeCell ref="I48:K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2024-04-01T07:32:58Z</dcterms:modified>
</cp:coreProperties>
</file>