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\Downloads\"/>
    </mc:Choice>
  </mc:AlternateContent>
  <xr:revisionPtr revIDLastSave="0" documentId="13_ncr:1_{5AAA4938-5E61-46DB-80D6-FB21CF068495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E6" i="3"/>
  <c r="C6" i="3"/>
  <c r="D8" i="3"/>
  <c r="E8" i="3"/>
  <c r="C8" i="3"/>
  <c r="D30" i="3"/>
  <c r="E30" i="3"/>
  <c r="C30" i="3"/>
  <c r="D31" i="3"/>
  <c r="E31" i="3"/>
  <c r="C31" i="3"/>
  <c r="D29" i="3"/>
  <c r="E29" i="3"/>
  <c r="C29" i="3"/>
  <c r="D12" i="3"/>
  <c r="E12" i="3"/>
  <c r="C12" i="3"/>
  <c r="D11" i="3"/>
  <c r="E11" i="3"/>
  <c r="C11" i="3"/>
  <c r="D10" i="3"/>
  <c r="E10" i="3"/>
  <c r="C10" i="3"/>
  <c r="D9" i="3"/>
  <c r="E9" i="3"/>
  <c r="C9" i="3"/>
  <c r="D77" i="3"/>
  <c r="E77" i="3"/>
  <c r="C77" i="3"/>
  <c r="D76" i="3"/>
  <c r="E76" i="3"/>
  <c r="C76" i="3"/>
  <c r="D75" i="3"/>
  <c r="E75" i="3"/>
  <c r="C75" i="3"/>
  <c r="D73" i="3"/>
  <c r="E73" i="3"/>
  <c r="C73" i="3"/>
  <c r="D72" i="3"/>
  <c r="E72" i="3"/>
  <c r="C72" i="3"/>
  <c r="D71" i="3"/>
  <c r="E71" i="3"/>
  <c r="C71" i="3"/>
  <c r="D70" i="3"/>
  <c r="E70" i="3"/>
  <c r="C70" i="3"/>
  <c r="D63" i="3"/>
  <c r="C63" i="3"/>
  <c r="D68" i="3"/>
  <c r="E68" i="3"/>
  <c r="C68" i="3"/>
  <c r="D67" i="3"/>
  <c r="E67" i="3"/>
  <c r="C67" i="3"/>
  <c r="D62" i="3"/>
  <c r="C62" i="3"/>
  <c r="D61" i="3"/>
  <c r="C61" i="3"/>
  <c r="D59" i="3"/>
  <c r="C59" i="3"/>
  <c r="D58" i="3"/>
  <c r="C58" i="3"/>
  <c r="D56" i="3"/>
  <c r="C56" i="3"/>
  <c r="D55" i="3"/>
  <c r="C55" i="3"/>
  <c r="D51" i="3"/>
  <c r="E51" i="3"/>
  <c r="C51" i="3"/>
  <c r="D49" i="3"/>
  <c r="E49" i="3"/>
  <c r="C49" i="3"/>
  <c r="D48" i="3"/>
  <c r="E48" i="3"/>
  <c r="C48" i="3"/>
  <c r="C47" i="3"/>
  <c r="D47" i="3"/>
  <c r="E47" i="3"/>
  <c r="D43" i="3"/>
  <c r="D42" i="3" s="1"/>
  <c r="E43" i="3"/>
  <c r="E42" i="3" s="1"/>
  <c r="C43" i="3"/>
  <c r="C42" i="3" s="1"/>
  <c r="D45" i="3"/>
  <c r="D44" i="3" s="1"/>
  <c r="E45" i="3"/>
  <c r="E44" i="3" s="1"/>
  <c r="C45" i="3"/>
  <c r="C44" i="3" s="1"/>
  <c r="D41" i="3"/>
  <c r="D40" i="3" s="1"/>
  <c r="E41" i="3"/>
  <c r="E40" i="3" s="1"/>
  <c r="C41" i="3"/>
  <c r="C40" i="3" s="1"/>
  <c r="D14" i="3"/>
  <c r="D13" i="3" s="1"/>
  <c r="E14" i="3"/>
  <c r="E13" i="3" s="1"/>
  <c r="C14" i="3"/>
  <c r="C13" i="3" s="1"/>
  <c r="D37" i="3"/>
  <c r="C37" i="3"/>
  <c r="D36" i="3"/>
  <c r="C36" i="3"/>
  <c r="D35" i="3"/>
  <c r="C35" i="3"/>
  <c r="D34" i="3"/>
  <c r="C34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D20" i="3" s="1"/>
  <c r="E21" i="3"/>
  <c r="E28" i="3" s="1"/>
  <c r="C21" i="3"/>
  <c r="C28" i="3" s="1"/>
  <c r="D19" i="3"/>
  <c r="D18" i="3" s="1"/>
  <c r="E19" i="3"/>
  <c r="E18" i="3" s="1"/>
  <c r="C19" i="3"/>
  <c r="C18" i="3" s="1"/>
  <c r="D17" i="3"/>
  <c r="E17" i="3"/>
  <c r="C17" i="3"/>
  <c r="D7" i="3"/>
  <c r="E7" i="3"/>
  <c r="C7" i="3"/>
  <c r="D5" i="3"/>
  <c r="E5" i="3"/>
  <c r="C5" i="3"/>
  <c r="B42" i="1"/>
  <c r="D108" i="1"/>
  <c r="C108" i="1"/>
  <c r="B108" i="1"/>
  <c r="D99" i="1"/>
  <c r="C99" i="1"/>
  <c r="B99" i="1"/>
  <c r="E20" i="3" l="1"/>
  <c r="C50" i="3"/>
  <c r="E50" i="3"/>
  <c r="D50" i="3"/>
  <c r="D28" i="3"/>
  <c r="C20" i="3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8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C62" i="1" l="1"/>
  <c r="B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 l="1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<sst xmlns="http://schemas.openxmlformats.org/spreadsheetml/2006/main" count="197" uniqueCount="162">
  <si>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</si>
  <si>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</si>
  <si>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</si>
  <si>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</si>
  <si>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</si>
  <si>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</si>
  <si>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</si>
  <si>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</si>
  <si>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</si>
  <si>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</si>
  <si>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</si>
  <si>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</si>
  <si>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</si>
  <si>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</si>
  <si>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</si>
  <si>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</si>
  <si>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</si>
  <si>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</si>
  <si>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</si>
  <si>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</si>
  <si>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</si>
  <si>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</si>
  <si>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</si>
  <si>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</si>
  <si>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</si>
  <si>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</si>
  <si>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</si>
  <si>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</si>
  <si>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</si>
  <si>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</si>
  <si>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</si>
  <si>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</si>
  <si>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</si>
  <si>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</si>
  <si>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</si>
  <si>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</si>
  <si>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</si>
  <si>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</si>
  <si>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</si>
  <si>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</si>
  <si>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</si>
  <si>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</si>
  <si>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</si>
  <si>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</si>
  <si>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</si>
  <si>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</si>
  <si>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</si>
  <si>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</si>
  <si>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</si>
  <si>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</si>
  <si>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</si>
  <si>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</si>
  <si>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</si>
  <si>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</si>
  <si>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</si>
  <si>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</si>
  <si>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</si>
  <si>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</si>
  <si>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</si>
  <si>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</si>
  <si>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</si>
  <si>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</si>
  <si>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</si>
  <si>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</si>
  <si>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</si>
  <si>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</si>
  <si>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</si>
  <si>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</si>
  <si>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</si>
  <si>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</si>
  <si>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</si>
  <si>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</si>
  <si>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</si>
  <si>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</si>
  <si>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</si>
  <si>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</si>
  <si>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</si>
  <si>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</si>
  <si>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</si>
  <si>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</si>
  <si>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</si>
  <si>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</si>
  <si>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</si>
  <si>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</si>
  <si>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</si>
  <si>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</si>
  <si>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</si>
  <si>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</si>
  <si>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</si>
  <si>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</si>
  <si>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</si>
  <si>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</si>
  <si>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</si>
  <si>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</si>
  <si>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</si>
  <si>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</si>
  <si>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</si>
  <si>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</si>
  <si>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</si>
  <si>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</si>
  <si>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</si>
  <si>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</si>
  <si>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</si>
  <si>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</si>
  <si>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</si>
  <si>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</si>
  <si>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</si>
  <si>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</si>
  <si>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</si>
  <si>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</si>
  <si>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</si>
  <si>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</si>
  <si>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</si>
  <si>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</si>
  <si>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</si>
  <si>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</si>
  <si>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</si>
  <si>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</si>
  <si>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</si>
  <si>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</si>
  <si>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</si>
  <si>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</si>
  <si>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</si>
  <si>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</si>
  <si>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</si>
  <si>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</si>
  <si>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</si>
  <si>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</si>
  <si>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</si>
  <si>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</si>
  <si>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</si>
  <si>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</si>
  <si>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</si>
  <si>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</si>
  <si>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</si>
  <si>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</si>
  <si>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</si>
  <si>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</si>
  <si>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</si>
  <si>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</si>
  <si>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</si>
  <si>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</si>
  <si>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</si>
  <si>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</si>
  <si>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</si>
  <si>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</si>
  <si>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</si>
  <si>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</si>
  <si>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</si>
  <si>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?</t>
  </si>
  <si>
    <t>Growth rates for the following:</t>
  </si>
  <si>
    <t>Margins/ as a % of net sales for the following:</t>
  </si>
  <si>
    <t xml:space="preserve">Share price of Apple </t>
  </si>
  <si>
    <t>dividend per share/ market price per share</t>
  </si>
  <si>
    <t>R&amp;D</t>
  </si>
  <si>
    <t>Total Assets</t>
  </si>
  <si>
    <t>Total Liabilities</t>
  </si>
  <si>
    <t>Total shareholders' equity</t>
  </si>
  <si>
    <t>Main line items of the balance sheet:</t>
  </si>
  <si>
    <t>Each operating expenses:</t>
  </si>
  <si>
    <t>Selling, general &amp; administrative</t>
  </si>
  <si>
    <t>Defensive Interval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</si>
</sst>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10" fontId="0" fillId="0" borderId="0" xfId="0" applyNumberFormat="1"/>
    <xf numFmtId="17" fontId="0" fillId="0" borderId="0" xfId="0" applyNumberFormat="1"/>
    <xf numFmtId="0" fontId="8" fillId="0" borderId="0" xfId="0" applyFont="1"/>
    <xf numFmtId="2" fontId="0" fillId="0" borderId="0" xfId="0" applyNumberFormat="1"/>
    <xf numFmtId="167" fontId="0" fillId="0" borderId="0" xfId="0" applyNumberFormat="1"/>
    <xf numFmtId="10" fontId="0" fillId="0" borderId="0" xfId="0" applyNumberFormat="1" applyAlignment="1">
      <alignment horizontal="left" inden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8" sqref="A8:A2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140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147</v>
      </c>
    </row>
    <row r="7" spans="1:1" x14ac:dyDescent="0.3">
      <c r="A7" s="1"/>
    </row>
    <row r="8" spans="1:1" x14ac:dyDescent="0.3">
      <c r="A8" s="17" t="s">
        <v>148</v>
      </c>
    </row>
    <row r="9" spans="1:1" x14ac:dyDescent="0.3">
      <c r="A9" s="1" t="s">
        <v>144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145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143</v>
      </c>
    </row>
    <row r="27" spans="1:1" x14ac:dyDescent="0.3">
      <c r="A27" s="16" t="s">
        <v>142</v>
      </c>
    </row>
    <row r="29" spans="1:1" x14ac:dyDescent="0.3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7" zoomScale="88" zoomScaleNormal="88" workbookViewId="0">
      <selection activeCell="A36" sqref="A36"/>
    </sheetView>
  </sheetViews>
  <sheetFormatPr defaultRowHeight="14.4" x14ac:dyDescent="0.3"/>
  <cols>
    <col min="1" max="1" width="64.109375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1" t="s">
        <v>1</v>
      </c>
      <c r="B2" s="31"/>
      <c r="C2" s="31"/>
      <c r="D2" s="31"/>
    </row>
    <row r="3" spans="1:10" x14ac:dyDescent="0.3">
      <c r="B3" s="30" t="s">
        <v>23</v>
      </c>
      <c r="C3" s="30"/>
      <c r="D3" s="30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1" t="s">
        <v>24</v>
      </c>
      <c r="B31" s="31"/>
      <c r="C31" s="31"/>
      <c r="D31" s="31"/>
    </row>
    <row r="32" spans="1:4" x14ac:dyDescent="0.3">
      <c r="B32" s="30" t="s">
        <v>141</v>
      </c>
      <c r="C32" s="30"/>
      <c r="D32" s="30"/>
    </row>
    <row r="33" spans="1:8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8" x14ac:dyDescent="0.3">
      <c r="A35" t="s">
        <v>25</v>
      </c>
    </row>
    <row r="36" spans="1:8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8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8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8" x14ac:dyDescent="0.3">
      <c r="A39" s="1" t="s">
        <v>29</v>
      </c>
      <c r="B39" s="12">
        <v>4946</v>
      </c>
      <c r="C39" s="12">
        <v>6580</v>
      </c>
      <c r="D39" s="12">
        <v>4061</v>
      </c>
      <c r="H39" s="23"/>
    </row>
    <row r="40" spans="1:8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8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8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8" x14ac:dyDescent="0.3">
      <c r="A43" t="s">
        <v>48</v>
      </c>
      <c r="B43" s="12"/>
      <c r="C43" s="12"/>
      <c r="D43" s="12"/>
    </row>
    <row r="44" spans="1:8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8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8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8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8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1" t="s">
        <v>55</v>
      </c>
      <c r="B71" s="31"/>
      <c r="C71" s="31"/>
      <c r="D71" s="31"/>
    </row>
    <row r="72" spans="1:4" x14ac:dyDescent="0.3">
      <c r="B72" s="30" t="s">
        <v>23</v>
      </c>
      <c r="C72" s="30"/>
      <c r="D72" s="30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7"/>
  <sheetViews>
    <sheetView tabSelected="1" workbookViewId="0">
      <selection activeCell="N45" sqref="N45"/>
    </sheetView>
  </sheetViews>
  <sheetFormatPr defaultRowHeight="14.4" x14ac:dyDescent="0.3"/>
  <cols>
    <col min="1" max="1" width="4.6640625" customWidth="1"/>
    <col min="2" max="2" width="44.88671875" customWidth="1"/>
    <col min="3" max="3" width="13.44140625" bestFit="1" customWidth="1"/>
    <col min="4" max="4" width="13.21875" customWidth="1"/>
    <col min="5" max="5" width="13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30" t="s">
        <v>23</v>
      </c>
      <c r="D2" s="30"/>
      <c r="E2" s="30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f>('Financial Statements'!B36+'Financial Statements'!B37+'Financial Statements'!B38+'Financial Statements'!B39)/'Financial Statements'!B56</f>
        <v>0.52885402189866348</v>
      </c>
      <c r="D6">
        <f>('Financial Statements'!C36+'Financial Statements'!C37+'Financial Statements'!C38+'Financial Statements'!C39)/'Financial Statements'!C56</f>
        <v>0.76104748926132249</v>
      </c>
      <c r="E6">
        <f>('Financial Statements'!D36+'Financial Statements'!D37+'Financial Statements'!D38+'Financial Statements'!D39)/'Financial Statements'!D56</f>
        <v>1.0543874297859419</v>
      </c>
    </row>
    <row r="7" spans="1:10" x14ac:dyDescent="0.3">
      <c r="A7" s="18">
        <f t="shared" si="0"/>
        <v>1.3000000000000003</v>
      </c>
      <c r="B7" s="1" t="s">
        <v>102</v>
      </c>
      <c r="C7">
        <f>('Financial Statements'!B36+'Financial Statements'!B37)/'Financial Statements'!B56</f>
        <v>0.31369900377966253</v>
      </c>
      <c r="D7">
        <f>('Financial Statements'!C36+'Financial Statements'!C37)/'Financial Statements'!C56</f>
        <v>0.49919111259872012</v>
      </c>
      <c r="E7">
        <f>('Financial Statements'!D36+'Financial Statements'!D37)/'Financial Statements'!D56</f>
        <v>0.86290230757552755</v>
      </c>
    </row>
    <row r="8" spans="1:10" x14ac:dyDescent="0.3">
      <c r="A8" s="18">
        <f t="shared" si="0"/>
        <v>1.4000000000000004</v>
      </c>
      <c r="B8" s="1" t="s">
        <v>161</v>
      </c>
      <c r="C8">
        <f>(('Financial Statements'!B36+'Financial Statements'!B38+'Financial Statements'!B39)/'Financial Statements'!B17)*365</f>
        <v>403.60775148505212</v>
      </c>
      <c r="D8">
        <f>(('Financial Statements'!C36+'Financial Statements'!C38+'Financial Statements'!C39)/'Financial Statements'!C17)*365</f>
        <v>563.86333082689634</v>
      </c>
      <c r="E8">
        <f>(('Financial Statements'!D36+'Financial Statements'!D38+'Financial Statements'!D39)/'Financial Statements'!D17)*365</f>
        <v>549.34066928726588</v>
      </c>
    </row>
    <row r="9" spans="1:10" x14ac:dyDescent="0.3">
      <c r="A9" s="18">
        <f t="shared" si="0"/>
        <v>1.5000000000000004</v>
      </c>
      <c r="B9" s="1" t="s">
        <v>103</v>
      </c>
      <c r="C9">
        <f>AVERAGE('Financial Statements'!B39+'Financial Statements'!C39)/('Financial Statements'!B12/365)</f>
        <v>18.819348143111487</v>
      </c>
      <c r="D9">
        <f>AVERAGE('Financial Statements'!C39+'Financial Statements'!D39)/('Financial Statements'!C12/365)</f>
        <v>18.236204168446953</v>
      </c>
      <c r="E9">
        <f>AVERAGE('Financial Statements'!D39+'Financial Statements'!E39)/('Financial Statements'!D12/365)</f>
        <v>8.7418833562358813</v>
      </c>
    </row>
    <row r="10" spans="1:10" x14ac:dyDescent="0.3">
      <c r="A10" s="18">
        <f t="shared" si="0"/>
        <v>1.6000000000000005</v>
      </c>
      <c r="B10" s="1" t="s">
        <v>104</v>
      </c>
      <c r="C10">
        <f>('Financial Statements'!B51*365)/'Financial Statements'!B12</f>
        <v>104.68527730310539</v>
      </c>
      <c r="D10">
        <f>('Financial Statements'!C51*365)/'Financial Statements'!C12</f>
        <v>93.85107122231561</v>
      </c>
      <c r="E10">
        <f>('Financial Statements'!D51*365)/'Financial Statements'!D12</f>
        <v>91.048189715674184</v>
      </c>
    </row>
    <row r="11" spans="1:10" x14ac:dyDescent="0.3">
      <c r="A11" s="18">
        <f t="shared" si="0"/>
        <v>1.7000000000000006</v>
      </c>
      <c r="B11" s="1" t="s">
        <v>105</v>
      </c>
      <c r="C11">
        <f>('Financial Statements'!B38*365)/'Financial Statements'!B8</f>
        <v>26.087825363656652</v>
      </c>
      <c r="D11">
        <f>('Financial Statements'!C38*365)/'Financial Statements'!C8</f>
        <v>26.219311841713207</v>
      </c>
      <c r="E11">
        <f>('Financial Statements'!D38*365)/'Financial Statements'!D8</f>
        <v>21.433437152796749</v>
      </c>
    </row>
    <row r="12" spans="1:10" x14ac:dyDescent="0.3">
      <c r="A12" s="18">
        <f t="shared" si="0"/>
        <v>1.8000000000000007</v>
      </c>
      <c r="B12" s="1" t="s">
        <v>106</v>
      </c>
      <c r="C12">
        <f>C9+C11-C10</f>
        <v>-59.778103796337255</v>
      </c>
      <c r="D12">
        <f t="shared" ref="D12:E12" si="1">D9+D11-D10</f>
        <v>-49.39555521215545</v>
      </c>
      <c r="E12">
        <f t="shared" si="1"/>
        <v>-60.872869206641553</v>
      </c>
    </row>
    <row r="13" spans="1:10" x14ac:dyDescent="0.3">
      <c r="A13" s="18">
        <f t="shared" si="0"/>
        <v>1.9000000000000008</v>
      </c>
      <c r="B13" s="1" t="s">
        <v>107</v>
      </c>
      <c r="C13" s="24">
        <f>C14/'Financial Statements'!B8</f>
        <v>-4.711052727678481E-2</v>
      </c>
      <c r="D13" s="24">
        <f>D14/'Financial Statements'!C8</f>
        <v>2.557289573748623E-2</v>
      </c>
      <c r="E13" s="24">
        <f>E14/'Financial Statements'!D8</f>
        <v>0.13959528623208203</v>
      </c>
    </row>
    <row r="14" spans="1:10" x14ac:dyDescent="0.3">
      <c r="A14" s="18"/>
      <c r="B14" s="3" t="s">
        <v>108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109</v>
      </c>
    </row>
    <row r="17" spans="1:5" x14ac:dyDescent="0.3">
      <c r="A17" s="18">
        <f>+A16+0.1</f>
        <v>2.1</v>
      </c>
      <c r="B17" s="1" t="s">
        <v>9</v>
      </c>
      <c r="C17">
        <f>('Financial Statements'!B8-'Financial Statements'!B12)/'Financial Statements'!B8</f>
        <v>0.43309630561360085</v>
      </c>
      <c r="D17">
        <f>('Financial Statements'!C8-'Financial Statements'!C12)/'Financial Statements'!C8</f>
        <v>0.41779359625167778</v>
      </c>
      <c r="E17">
        <f>('Financial Statements'!D8-'Financial Statements'!D12)/'Financial Statements'!D8</f>
        <v>0.38233247727810865</v>
      </c>
    </row>
    <row r="18" spans="1:5" x14ac:dyDescent="0.3">
      <c r="A18" s="18">
        <f>+A17+0.1</f>
        <v>2.2000000000000002</v>
      </c>
      <c r="B18" s="1" t="s">
        <v>110</v>
      </c>
      <c r="C18">
        <f>C19/'Financial Statements'!B8</f>
        <v>0.3310467428130896</v>
      </c>
      <c r="D18">
        <f>D19/'Financial Statements'!C8</f>
        <v>0.32866979938056462</v>
      </c>
      <c r="E18">
        <f>E19/'Financial Statements'!D8</f>
        <v>0.2817478097736007</v>
      </c>
    </row>
    <row r="19" spans="1:5" x14ac:dyDescent="0.3">
      <c r="A19" s="18"/>
      <c r="B19" s="3" t="s">
        <v>111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5" x14ac:dyDescent="0.3">
      <c r="A20" s="18">
        <f>+A18+0.1</f>
        <v>2.3000000000000003</v>
      </c>
      <c r="B20" s="1" t="s">
        <v>112</v>
      </c>
      <c r="C20">
        <f>C21/'Financial Statements'!B8</f>
        <v>0.30288744395528594</v>
      </c>
      <c r="D20">
        <f>D21/'Financial Statements'!C8</f>
        <v>0.29782377527561593</v>
      </c>
      <c r="E20">
        <f>E21/'Financial Statements'!D8</f>
        <v>0.24147314354406862</v>
      </c>
    </row>
    <row r="21" spans="1:5" x14ac:dyDescent="0.3">
      <c r="A21" s="18"/>
      <c r="B21" s="3" t="s">
        <v>113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5" x14ac:dyDescent="0.3">
      <c r="A22" s="18">
        <f>+A20+0.1</f>
        <v>2.4000000000000004</v>
      </c>
      <c r="B22" s="1" t="s">
        <v>114</v>
      </c>
      <c r="C22">
        <f>'Financial Statements'!B22/'Financial Statements'!B8</f>
        <v>0.25309640705199732</v>
      </c>
      <c r="D22">
        <f>'Financial Statements'!C22/'Financial Statements'!C8</f>
        <v>0.25881793355694238</v>
      </c>
      <c r="E22">
        <f>'Financial Statements'!D22/'Financial Statements'!D8</f>
        <v>0.20913611278072236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115</v>
      </c>
    </row>
    <row r="25" spans="1:5" x14ac:dyDescent="0.3">
      <c r="A25" s="18">
        <f>+A24+0.1</f>
        <v>3.1</v>
      </c>
      <c r="B25" s="1" t="s">
        <v>116</v>
      </c>
      <c r="C25">
        <f>('Financial Statements'!B55+'Financial Statements'!B59)/'Financial Statements'!B68</f>
        <v>2.1725410483107042</v>
      </c>
      <c r="D25">
        <f>('Financial Statements'!C55+'Financial Statements'!C59)/'Financial Statements'!C68</f>
        <v>1.8817403708987162</v>
      </c>
      <c r="E25">
        <f>('Financial Statements'!D55+'Financial Statements'!D59)/'Financial Statements'!D68</f>
        <v>1.6443471739696047</v>
      </c>
    </row>
    <row r="26" spans="1:5" x14ac:dyDescent="0.3">
      <c r="A26" s="18">
        <f t="shared" ref="A26:A30" si="2">+A25+0.1</f>
        <v>3.2</v>
      </c>
      <c r="B26" s="1" t="s">
        <v>117</v>
      </c>
      <c r="C26">
        <f>('Financial Statements'!B55+'Financial Statements'!B59)/'Financial Statements'!B48</f>
        <v>0.31207778769967826</v>
      </c>
      <c r="D26">
        <f>('Financial Statements'!C55+'Financial Statements'!C59)/'Financial Statements'!C48</f>
        <v>0.33822884200090025</v>
      </c>
      <c r="E26">
        <f>('Financial Statements'!D55+'Financial Statements'!D59)/'Financial Statements'!D48</f>
        <v>0.33171960677765155</v>
      </c>
    </row>
    <row r="27" spans="1:5" x14ac:dyDescent="0.3">
      <c r="A27" s="18">
        <f t="shared" si="2"/>
        <v>3.3000000000000003</v>
      </c>
      <c r="B27" s="1" t="s">
        <v>118</v>
      </c>
      <c r="C27">
        <f>'Financial Statements'!B59/('Financial Statements'!B59+'Financial Statements'!B68)</f>
        <v>0.66135359651409131</v>
      </c>
      <c r="D27">
        <f>'Financial Statements'!C59/('Financial Statements'!C59+'Financial Statements'!C68)</f>
        <v>0.63361518269878514</v>
      </c>
      <c r="E27">
        <f>'Financial Statements'!D59/('Financial Statements'!D59+'Financial Statements'!D68)</f>
        <v>0.60160603880345842</v>
      </c>
    </row>
    <row r="28" spans="1:5" x14ac:dyDescent="0.3">
      <c r="A28" s="18">
        <f t="shared" si="2"/>
        <v>3.4000000000000004</v>
      </c>
      <c r="B28" s="1" t="s">
        <v>119</v>
      </c>
      <c r="C28">
        <f>C21/'Financial Statements'!B114</f>
        <v>41.68830715532286</v>
      </c>
      <c r="D28">
        <f>D21/'Financial Statements'!C114</f>
        <v>40.546706363974693</v>
      </c>
      <c r="E28">
        <f>E21/'Financial Statements'!D114</f>
        <v>22.081279147235175</v>
      </c>
    </row>
    <row r="29" spans="1:5" x14ac:dyDescent="0.3">
      <c r="A29" s="18">
        <f t="shared" si="2"/>
        <v>3.5000000000000004</v>
      </c>
      <c r="B29" s="1" t="s">
        <v>120</v>
      </c>
      <c r="C29">
        <f>'Financial Statements'!B18/('Financial Statements'!B59+'Financial Statements'!B55)</f>
        <v>1.0849328258559139</v>
      </c>
      <c r="D29">
        <f>'Financial Statements'!C18/('Financial Statements'!C59+'Financial Statements'!C55)</f>
        <v>0.91770483241941059</v>
      </c>
      <c r="E29">
        <f>'Financial Statements'!D18/('Financial Statements'!D59+'Financial Statements'!D55)</f>
        <v>0.61697691734921822</v>
      </c>
    </row>
    <row r="30" spans="1:5" x14ac:dyDescent="0.3">
      <c r="A30" s="18">
        <f t="shared" si="2"/>
        <v>3.6000000000000005</v>
      </c>
      <c r="B30" s="1" t="s">
        <v>121</v>
      </c>
      <c r="C30">
        <f>(C31*1000)/'Financial Statements'!B27</f>
        <v>8.5468251253409981</v>
      </c>
      <c r="D30">
        <f>(D31*1000)/'Financial Statements'!C27</f>
        <v>8.5116271383401223</v>
      </c>
      <c r="E30">
        <f>(E31*1000)/'Financial Statements'!D27</f>
        <v>1.5571585234057004</v>
      </c>
    </row>
    <row r="31" spans="1:5" x14ac:dyDescent="0.3">
      <c r="A31" s="18"/>
      <c r="B31" s="3" t="s">
        <v>122</v>
      </c>
      <c r="C31">
        <f>'Financial Statements'!B22+'Financial Statements'!B79-('List of Ratios'!C14-'List of Ratios'!D14)-'Financial Statements'!B96+'Financial Statements'!B109</f>
        <v>138595</v>
      </c>
      <c r="D31">
        <f>'Financial Statements'!C22+'Financial Statements'!C79-('List of Ratios'!D14-'List of Ratios'!E14)-'Financial Statements'!C96+'Financial Statements'!C109</f>
        <v>142155</v>
      </c>
      <c r="E31">
        <f>'Financial Statements'!D22+'Financial Statements'!D79-('List of Ratios'!E14-'List of Ratios'!F14)-'Financial Statements'!D96+'Financial Statements'!D109</f>
        <v>27020</v>
      </c>
    </row>
    <row r="32" spans="1:5" x14ac:dyDescent="0.3">
      <c r="A32" s="18"/>
    </row>
    <row r="33" spans="1:13" x14ac:dyDescent="0.3">
      <c r="A33" s="18">
        <f>+A24+1</f>
        <v>4</v>
      </c>
      <c r="B33" s="17" t="s">
        <v>123</v>
      </c>
    </row>
    <row r="34" spans="1:13" x14ac:dyDescent="0.3">
      <c r="A34" s="18">
        <f>+A33+0.1</f>
        <v>4.0999999999999996</v>
      </c>
      <c r="B34" s="1" t="s">
        <v>124</v>
      </c>
      <c r="C34">
        <f>'Financial Statements'!B8/AVERAGE('Financial Statements'!B48+'Financial Statements'!C48)</f>
        <v>0.56031840535866784</v>
      </c>
      <c r="D34">
        <f>'Financial Statements'!C8/AVERAGE('Financial Statements'!C48+'Financial Statements'!D48)</f>
        <v>0.54203944346486099</v>
      </c>
    </row>
    <row r="35" spans="1:13" x14ac:dyDescent="0.3">
      <c r="A35" s="18">
        <f t="shared" ref="A35:A37" si="3">+A34+0.1</f>
        <v>4.1999999999999993</v>
      </c>
      <c r="B35" s="1" t="s">
        <v>125</v>
      </c>
      <c r="C35">
        <f>'Financial Statements'!B8/AVERAGE('Financial Statements'!B47+'Financial Statements'!C47)</f>
        <v>0.90960425912769083</v>
      </c>
      <c r="D35">
        <f>'Financial Statements'!C8/AVERAGE('Financial Statements'!C47+'Financial Statements'!D47)</f>
        <v>0.92298550995228856</v>
      </c>
    </row>
    <row r="36" spans="1:13" x14ac:dyDescent="0.3">
      <c r="A36" s="18">
        <f t="shared" si="3"/>
        <v>4.2999999999999989</v>
      </c>
      <c r="B36" s="1" t="s">
        <v>126</v>
      </c>
      <c r="C36">
        <f>'Financial Statements'!B12/AVERAGE('Financial Statements'!B39+'Financial Statements'!C39)</f>
        <v>19.394933194516746</v>
      </c>
      <c r="D36">
        <f>'Financial Statements'!C12/AVERAGE('Financial Statements'!C39+'Financial Statements'!D39)</f>
        <v>20.015130156940138</v>
      </c>
    </row>
    <row r="37" spans="1:13" x14ac:dyDescent="0.3">
      <c r="A37" s="18">
        <f t="shared" si="3"/>
        <v>4.3999999999999986</v>
      </c>
      <c r="B37" s="1" t="s">
        <v>127</v>
      </c>
      <c r="C37">
        <f>'Financial Statements'!B22/AVERAGE('Financial Statements'!B48+'Financial Statements'!C48)</f>
        <v>0.14181457520138344</v>
      </c>
      <c r="D37">
        <f>'Financial Statements'!C22/AVERAGE('Financial Statements'!C48+'Financial Statements'!D48)</f>
        <v>0.14028952866393041</v>
      </c>
    </row>
    <row r="38" spans="1:13" x14ac:dyDescent="0.3">
      <c r="A38" s="18"/>
    </row>
    <row r="39" spans="1:13" x14ac:dyDescent="0.3">
      <c r="A39" s="18">
        <f>+A33+1</f>
        <v>5</v>
      </c>
      <c r="B39" s="17" t="s">
        <v>128</v>
      </c>
      <c r="K39" s="7" t="s">
        <v>152</v>
      </c>
    </row>
    <row r="40" spans="1:13" x14ac:dyDescent="0.3">
      <c r="A40" s="18">
        <f>+A39+0.1</f>
        <v>5.0999999999999996</v>
      </c>
      <c r="B40" s="1" t="s">
        <v>129</v>
      </c>
      <c r="C40">
        <f>K41/C41</f>
        <v>22.28130081300813</v>
      </c>
      <c r="D40">
        <f t="shared" ref="D40:E40" si="4">L41/D41</f>
        <v>30.291005291005291</v>
      </c>
      <c r="E40">
        <f t="shared" si="4"/>
        <v>34.277945619335348</v>
      </c>
      <c r="K40" s="25">
        <v>44805</v>
      </c>
      <c r="L40" s="25">
        <v>44440</v>
      </c>
      <c r="M40" s="25">
        <v>44075</v>
      </c>
    </row>
    <row r="41" spans="1:13" x14ac:dyDescent="0.3">
      <c r="A41" s="18">
        <f t="shared" ref="A41:A44" si="5">+A40+0.1</f>
        <v>5.1999999999999993</v>
      </c>
      <c r="B41" s="3" t="s">
        <v>130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  <c r="K41">
        <v>137.03</v>
      </c>
      <c r="L41">
        <v>171.75</v>
      </c>
      <c r="M41">
        <v>113.46</v>
      </c>
    </row>
    <row r="42" spans="1:13" x14ac:dyDescent="0.3">
      <c r="A42" s="18">
        <f t="shared" si="5"/>
        <v>5.2999999999999989</v>
      </c>
      <c r="B42" s="1" t="s">
        <v>131</v>
      </c>
      <c r="C42">
        <f>K41/C43</f>
        <v>43.852096027194506</v>
      </c>
      <c r="D42">
        <f t="shared" ref="D42:E42" si="6">L41/D43</f>
        <v>45.465897384688546</v>
      </c>
      <c r="E42">
        <f t="shared" si="6"/>
        <v>30.131642996372761</v>
      </c>
    </row>
    <row r="43" spans="1:13" x14ac:dyDescent="0.3">
      <c r="A43" s="18">
        <f t="shared" si="5"/>
        <v>5.3999999999999986</v>
      </c>
      <c r="B43" s="3" t="s">
        <v>132</v>
      </c>
      <c r="C43">
        <f>('Financial Statements'!B68*1000)/'Financial Statements'!B27</f>
        <v>3.124822127430853</v>
      </c>
      <c r="D43">
        <f>('Financial Statements'!C68*1000)/'Financial Statements'!C27</f>
        <v>3.7775565837141025</v>
      </c>
      <c r="E43">
        <f>('Financial Statements'!D68*1000)/'Financial Statements'!D27</f>
        <v>3.765476712094932</v>
      </c>
    </row>
    <row r="44" spans="1:13" x14ac:dyDescent="0.3">
      <c r="A44" s="18">
        <f t="shared" si="5"/>
        <v>5.4999999999999982</v>
      </c>
      <c r="B44" s="1" t="s">
        <v>133</v>
      </c>
      <c r="C44">
        <f>C45/'Financial Statements'!B24</f>
        <v>1.4881451886066322E-4</v>
      </c>
      <c r="D44">
        <f>D45/'Financial Statements'!C24</f>
        <v>1.5277274199029781E-4</v>
      </c>
      <c r="E44">
        <f>E45/'Financial Statements'!D24</f>
        <v>2.4516190500128212E-4</v>
      </c>
      <c r="G44" s="26" t="s">
        <v>149</v>
      </c>
    </row>
    <row r="45" spans="1:13" x14ac:dyDescent="0.3">
      <c r="A45" s="18"/>
      <c r="B45" s="3" t="s">
        <v>134</v>
      </c>
      <c r="C45">
        <f>ABS(('Financial Statements'!B102)/'Financial Statements'!B27)</f>
        <v>9.1520929099307886E-4</v>
      </c>
      <c r="D45">
        <f>ABS(('Financial Statements'!C102)/'Financial Statements'!C27)</f>
        <v>8.6622144708498852E-4</v>
      </c>
      <c r="E45">
        <f>ABS(('Financial Statements'!D102)/'Financial Statements'!D27)</f>
        <v>8.1148590555424381E-4</v>
      </c>
    </row>
    <row r="46" spans="1:13" x14ac:dyDescent="0.3">
      <c r="A46" s="18">
        <f>+A44+0.1</f>
        <v>5.5999999999999979</v>
      </c>
      <c r="B46" s="1" t="s">
        <v>135</v>
      </c>
      <c r="C46" s="27"/>
      <c r="D46" s="24"/>
      <c r="E46" s="24"/>
      <c r="G46" t="s">
        <v>153</v>
      </c>
    </row>
    <row r="47" spans="1:13" x14ac:dyDescent="0.3">
      <c r="A47" s="18">
        <f t="shared" ref="A47:A50" si="7">+A45+0.1</f>
        <v>0.1</v>
      </c>
      <c r="B47" s="1" t="s">
        <v>136</v>
      </c>
      <c r="C47" s="28">
        <f>'Financial Statements'!B22/'Financial Statements'!B68</f>
        <v>1.9695887275023682</v>
      </c>
      <c r="D47" s="28">
        <f>'Financial Statements'!C22/'Financial Statements'!C68</f>
        <v>1.5007132667617689</v>
      </c>
      <c r="E47" s="28">
        <f>'Financial Statements'!D22/'Financial Statements'!D68</f>
        <v>0.87866358530127486</v>
      </c>
    </row>
    <row r="48" spans="1:13" x14ac:dyDescent="0.3">
      <c r="A48" s="18">
        <f t="shared" si="7"/>
        <v>5.6999999999999975</v>
      </c>
      <c r="B48" s="1" t="s">
        <v>137</v>
      </c>
      <c r="C48" s="28">
        <f>'Financial Statements'!B18/('Financial Statements'!B68+'Financial Statements'!B59)</f>
        <v>0.79821026391589978</v>
      </c>
      <c r="D48" s="28">
        <f>'Financial Statements'!C18/('Financial Statements'!C68+'Financial Statements'!C59)</f>
        <v>0.63270343097400639</v>
      </c>
      <c r="E48" s="28">
        <f>'Financial Statements'!D18/('Financial Statements'!D68+'Financial Statements'!D59)</f>
        <v>0.40418033486579757</v>
      </c>
    </row>
    <row r="49" spans="1:5" x14ac:dyDescent="0.3">
      <c r="A49" s="18">
        <f t="shared" si="7"/>
        <v>0.2</v>
      </c>
      <c r="B49" s="1" t="s">
        <v>127</v>
      </c>
      <c r="C49" s="28">
        <f>'Financial Statements'!B22/'Financial Statements'!B48</f>
        <v>0.28292440929256851</v>
      </c>
      <c r="D49" s="28">
        <f>'Financial Statements'!C22/'Financial Statements'!C48</f>
        <v>0.26974205275183616</v>
      </c>
      <c r="E49" s="28">
        <f>'Financial Statements'!D22/'Financial Statements'!D48</f>
        <v>0.1772557180259843</v>
      </c>
    </row>
    <row r="50" spans="1:5" x14ac:dyDescent="0.3">
      <c r="A50" s="18">
        <f t="shared" si="7"/>
        <v>5.7999999999999972</v>
      </c>
      <c r="B50" s="1" t="s">
        <v>138</v>
      </c>
      <c r="C50">
        <f>C51/C19</f>
        <v>17022.696707471216</v>
      </c>
      <c r="D50">
        <f t="shared" ref="D50:E50" si="8">D51/D19</f>
        <v>23858.069290461022</v>
      </c>
      <c r="E50">
        <f t="shared" si="8"/>
        <v>25455.637744880016</v>
      </c>
    </row>
    <row r="51" spans="1:5" x14ac:dyDescent="0.3">
      <c r="A51" s="18"/>
      <c r="B51" s="3" t="s">
        <v>139</v>
      </c>
      <c r="C51">
        <f>(K41*'Financial Statements'!B27)+('Financial Statements'!B59+'Financial Statements'!B55)-'Financial Statements'!B36</f>
        <v>2222159850.8899999</v>
      </c>
      <c r="D51">
        <f>(L41*'Financial Statements'!C27)+('Financial Statements'!C59+'Financial Statements'!C55)-'Financial Statements'!C36</f>
        <v>2868527245</v>
      </c>
      <c r="E51">
        <f>(M41*'Financial Statements'!D27)+('Financial Statements'!D59+'Financial Statements'!D55)-'Financial Statements'!D36</f>
        <v>1968840845.74</v>
      </c>
    </row>
    <row r="54" spans="1:5" x14ac:dyDescent="0.3">
      <c r="B54" s="17" t="s">
        <v>150</v>
      </c>
    </row>
    <row r="55" spans="1:5" x14ac:dyDescent="0.3">
      <c r="B55" s="1" t="s">
        <v>144</v>
      </c>
      <c r="C55" s="29">
        <f>('Financial Statements'!B6-'Financial Statements'!C6)/'Financial Statements'!C6</f>
        <v>6.3239764351428418E-2</v>
      </c>
      <c r="D55" s="29">
        <f>('Financial Statements'!C6-'Financial Statements'!D6)/'Financial Statements'!D6</f>
        <v>0.34720743656765435</v>
      </c>
    </row>
    <row r="56" spans="1:5" x14ac:dyDescent="0.3">
      <c r="B56" s="1" t="s">
        <v>89</v>
      </c>
      <c r="C56" s="29">
        <f>('Financial Statements'!B13-'Financial Statements'!C13)/'Financial Statements'!C13</f>
        <v>0.11741997958596143</v>
      </c>
      <c r="D56" s="29">
        <f>('Financial Statements'!C13-'Financial Statements'!D13)/'Financial Statements'!D13</f>
        <v>0.45619116582186819</v>
      </c>
    </row>
    <row r="57" spans="1:5" x14ac:dyDescent="0.3">
      <c r="B57" s="1" t="s">
        <v>159</v>
      </c>
      <c r="C57" s="29"/>
      <c r="D57" s="24"/>
    </row>
    <row r="58" spans="1:5" x14ac:dyDescent="0.3">
      <c r="B58" s="1" t="s">
        <v>154</v>
      </c>
      <c r="C58" s="29">
        <f>('Financial Statements'!B15-'Financial Statements'!C15)/'Financial Statements'!C15</f>
        <v>0.19791001186456147</v>
      </c>
      <c r="D58" s="29">
        <f>('Financial Statements'!C15-'Financial Statements'!D15)/'Financial Statements'!D15</f>
        <v>0.16862201365187712</v>
      </c>
    </row>
    <row r="59" spans="1:5" x14ac:dyDescent="0.3">
      <c r="B59" s="1" t="s">
        <v>12</v>
      </c>
      <c r="C59" s="23">
        <f>('Financial Statements'!B16-'Financial Statements'!C16)/'Financial Statements'!C16</f>
        <v>0.14203795567287125</v>
      </c>
      <c r="D59" s="23">
        <f>('Financial Statements'!C16-'Financial Statements'!D16)/'Financial Statements'!D16</f>
        <v>0.10328379192608958</v>
      </c>
    </row>
    <row r="60" spans="1:5" x14ac:dyDescent="0.3">
      <c r="B60" s="1" t="s">
        <v>158</v>
      </c>
    </row>
    <row r="61" spans="1:5" x14ac:dyDescent="0.3">
      <c r="B61" s="1" t="s">
        <v>155</v>
      </c>
      <c r="C61" s="28">
        <f>('Financial Statements'!B48-'Financial Statements'!C48)/'Financial Statements'!C48</f>
        <v>4.9942735369029236E-3</v>
      </c>
      <c r="D61" s="28">
        <f>('Financial Statements'!C48-'Financial Statements'!D48)/'Financial Statements'!D48</f>
        <v>8.3714123400681711E-2</v>
      </c>
    </row>
    <row r="62" spans="1:5" x14ac:dyDescent="0.3">
      <c r="B62" s="1" t="s">
        <v>156</v>
      </c>
      <c r="C62" s="28">
        <f>('Financial Statements'!B62-'Financial Statements'!C62)/'Financial Statements'!C62</f>
        <v>4.9219900525160468E-2</v>
      </c>
      <c r="D62" s="28">
        <f>('Financial Statements'!C62-'Financial Statements'!D62)/'Financial Statements'!D62</f>
        <v>0.11356841449783213</v>
      </c>
    </row>
    <row r="63" spans="1:5" x14ac:dyDescent="0.3">
      <c r="B63" s="1" t="s">
        <v>157</v>
      </c>
      <c r="C63" s="28">
        <f>('Financial Statements'!B68-'Financial Statements'!C68)/'Financial Statements'!C68</f>
        <v>-0.19682992550324932</v>
      </c>
      <c r="D63" s="28">
        <f>('Financial Statements'!C68-'Financial Statements'!D68)/'Financial Statements'!D68</f>
        <v>-3.4420483937617659E-2</v>
      </c>
    </row>
    <row r="64" spans="1:5" x14ac:dyDescent="0.3">
      <c r="B64" s="1"/>
    </row>
    <row r="65" spans="2:5" x14ac:dyDescent="0.3">
      <c r="C65" s="1"/>
    </row>
    <row r="66" spans="2:5" x14ac:dyDescent="0.3">
      <c r="B66" s="17" t="s">
        <v>151</v>
      </c>
    </row>
    <row r="67" spans="2:5" x14ac:dyDescent="0.3">
      <c r="B67" s="1" t="s">
        <v>145</v>
      </c>
      <c r="C67" s="24">
        <f>'Financial Statements'!B12/'Financial Statements'!B8</f>
        <v>0.56690369438639909</v>
      </c>
      <c r="D67" s="24">
        <f>'Financial Statements'!C12/'Financial Statements'!C8</f>
        <v>0.58220640374832222</v>
      </c>
      <c r="E67" s="24">
        <f>'Financial Statements'!D12/'Financial Statements'!D8</f>
        <v>0.61766752272189129</v>
      </c>
    </row>
    <row r="68" spans="2:5" x14ac:dyDescent="0.3">
      <c r="B68" s="1" t="s">
        <v>89</v>
      </c>
      <c r="C68" s="24">
        <f>'Financial Statements'!B13/'Financial Statements'!B8</f>
        <v>0.43309630561360085</v>
      </c>
      <c r="D68" s="24">
        <f>'Financial Statements'!C13/'Financial Statements'!C8</f>
        <v>0.41779359625167778</v>
      </c>
      <c r="E68" s="24">
        <f>'Financial Statements'!D13/'Financial Statements'!D8</f>
        <v>0.38233247727810865</v>
      </c>
    </row>
    <row r="69" spans="2:5" x14ac:dyDescent="0.3">
      <c r="B69" s="1" t="s">
        <v>159</v>
      </c>
      <c r="C69" s="24"/>
      <c r="D69" s="24"/>
      <c r="E69" s="24"/>
    </row>
    <row r="70" spans="2:5" x14ac:dyDescent="0.3">
      <c r="B70" s="1" t="s">
        <v>154</v>
      </c>
      <c r="C70" s="24">
        <f>'Financial Statements'!B15/'Financial Statements'!B8</f>
        <v>6.657148363798665E-2</v>
      </c>
      <c r="D70" s="24">
        <f>'Financial Statements'!C15/'Financial Statements'!C8</f>
        <v>5.9904269074427925E-2</v>
      </c>
      <c r="E70" s="24">
        <f>'Financial Statements'!D15/'Financial Statements'!D8</f>
        <v>6.8309564140393061E-2</v>
      </c>
    </row>
    <row r="71" spans="2:5" x14ac:dyDescent="0.3">
      <c r="B71" s="1" t="s">
        <v>160</v>
      </c>
      <c r="C71" s="24">
        <f>'Financial Statements'!B16/'Financial Statements'!B8</f>
        <v>6.3637378020328261E-2</v>
      </c>
      <c r="D71" s="24">
        <f>'Financial Statements'!C16/'Financial Statements'!C8</f>
        <v>6.006555190163388E-2</v>
      </c>
      <c r="E71" s="24">
        <f>'Financial Statements'!D16/'Financial Statements'!D8</f>
        <v>7.2549769593646979E-2</v>
      </c>
    </row>
    <row r="72" spans="2:5" x14ac:dyDescent="0.3">
      <c r="B72" s="1" t="s">
        <v>14</v>
      </c>
      <c r="C72" s="24">
        <f>'Financial Statements'!B18/'Financial Statements'!B8</f>
        <v>0.30288744395528594</v>
      </c>
      <c r="D72" s="24">
        <f>'Financial Statements'!C18/'Financial Statements'!C8</f>
        <v>0.29782377527561593</v>
      </c>
      <c r="E72" s="24">
        <f>'Financial Statements'!D18/'Financial Statements'!D8</f>
        <v>0.24147314354406862</v>
      </c>
    </row>
    <row r="73" spans="2:5" x14ac:dyDescent="0.3">
      <c r="B73" s="1" t="s">
        <v>93</v>
      </c>
      <c r="C73" s="24">
        <f>'Financial Statements'!B22/'Financial Statements'!B8</f>
        <v>0.25309640705199732</v>
      </c>
      <c r="D73" s="24">
        <f>'Financial Statements'!C22/'Financial Statements'!C8</f>
        <v>0.25881793355694238</v>
      </c>
      <c r="E73" s="24">
        <f>'Financial Statements'!D22/'Financial Statements'!D8</f>
        <v>0.20913611278072236</v>
      </c>
    </row>
    <row r="74" spans="2:5" x14ac:dyDescent="0.3">
      <c r="B74" s="1"/>
      <c r="C74" s="24"/>
      <c r="D74" s="24"/>
      <c r="E74" s="24"/>
    </row>
    <row r="75" spans="2:5" x14ac:dyDescent="0.3">
      <c r="B75" s="1" t="s">
        <v>94</v>
      </c>
      <c r="C75" s="24">
        <f>'Financial Statements'!B113/'Financial Statements'!B20</f>
        <v>0.1643367505436471</v>
      </c>
      <c r="D75" s="24">
        <f>'Financial Statements'!C113/'Financial Statements'!C20</f>
        <v>0.23244846942045841</v>
      </c>
      <c r="E75" s="24">
        <f>'Financial Statements'!D113/'Financial Statements'!D20</f>
        <v>0.14161362924982487</v>
      </c>
    </row>
    <row r="76" spans="2:5" x14ac:dyDescent="0.3">
      <c r="B76" s="1" t="s">
        <v>95</v>
      </c>
      <c r="C76" s="24">
        <f>ABS('Financial Statements'!B96/'Financial Statements'!B8)</f>
        <v>2.7155058732831552E-2</v>
      </c>
      <c r="D76" s="24">
        <f>ABS('Financial Statements'!C96/'Financial Statements'!C8)</f>
        <v>3.0302036264033657E-2</v>
      </c>
      <c r="E76" s="24">
        <f>ABS('Financial Statements'!D96/'Financial Statements'!D8)</f>
        <v>2.6625138881299748E-2</v>
      </c>
    </row>
    <row r="77" spans="2:5" x14ac:dyDescent="0.3">
      <c r="B77" s="1" t="s">
        <v>96</v>
      </c>
      <c r="C77" s="24">
        <f>ABS('Financial Statements'!B96/'Financial Statements'!B47)</f>
        <v>4.9266160570508394E-2</v>
      </c>
      <c r="D77" s="24">
        <f>ABS('Financial Statements'!C96/'Financial Statements'!C47)</f>
        <v>5.1280034788079534E-2</v>
      </c>
      <c r="E77" s="24">
        <f>ABS('Financial Statements'!D96/'Financial Statements'!D47)</f>
        <v>4.0566116275842931E-2</v>
      </c>
    </row>
  </sheetData>
  <mergeCells count="1">
    <mergeCell ref="C2:E2"/>
  </mergeCells>
  <pageMargins left="0.7" right="0.7" top="0.75" bottom="0.75" header="0.3" footer="0.3"/>
  <pageSetup paperSize="9" orientation="portrait" r:id="rId1"/>
  <ignoredErrors>
    <ignoredError sqref="C19 D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Lucas Bebell</cp:lastModifiedBy>
  <dcterms:created xsi:type="dcterms:W3CDTF">2020-05-18T16:32:37Z</dcterms:created>
  <dcterms:modified xsi:type="dcterms:W3CDTF">2024-04-18T18:26:00Z</dcterms:modified>
</cp:coreProperties>
</file>