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maxhackett/Desktop/Quill Capital/"/>
    </mc:Choice>
  </mc:AlternateContent>
  <xr:revisionPtr revIDLastSave="0" documentId="13_ncr:1_{2792D0DF-D1B6-6641-AAE7-B0EB4B7A2569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Final Task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D50" i="3" s="1"/>
  <c r="E51" i="3"/>
  <c r="E50" i="3" s="1"/>
  <c r="C50" i="3"/>
  <c r="C51" i="3"/>
  <c r="D48" i="3"/>
  <c r="E48" i="3"/>
  <c r="C48" i="3"/>
  <c r="D46" i="3"/>
  <c r="E46" i="3"/>
  <c r="C46" i="3"/>
  <c r="D49" i="3"/>
  <c r="E49" i="3"/>
  <c r="D43" i="3"/>
  <c r="E43" i="3"/>
  <c r="C43" i="3"/>
  <c r="C49" i="3"/>
  <c r="D40" i="3"/>
  <c r="E40" i="3"/>
  <c r="C40" i="3"/>
  <c r="D41" i="3"/>
  <c r="E41" i="3"/>
  <c r="C41" i="3"/>
  <c r="D37" i="3"/>
  <c r="E37" i="3"/>
  <c r="C37" i="3"/>
  <c r="D30" i="3"/>
  <c r="C30" i="3"/>
  <c r="D31" i="3"/>
  <c r="C31" i="3"/>
  <c r="D13" i="3"/>
  <c r="E13" i="3"/>
  <c r="C13" i="3"/>
  <c r="D14" i="3"/>
  <c r="E14" i="3"/>
  <c r="C14" i="3"/>
  <c r="D12" i="3"/>
  <c r="C12" i="3"/>
  <c r="D11" i="3"/>
  <c r="C11" i="3"/>
  <c r="D9" i="3"/>
  <c r="C9" i="3"/>
  <c r="D8" i="3"/>
  <c r="E8" i="3"/>
  <c r="C8" i="3"/>
  <c r="C4" i="5"/>
  <c r="B4" i="5"/>
  <c r="C3" i="5"/>
  <c r="B3" i="5"/>
  <c r="C8" i="5"/>
  <c r="B8" i="5"/>
  <c r="C2" i="5"/>
  <c r="D2" i="5"/>
  <c r="B2" i="5"/>
  <c r="J16" i="1"/>
  <c r="J12" i="1"/>
  <c r="I12" i="1"/>
  <c r="J22" i="1"/>
  <c r="I22" i="1"/>
  <c r="J19" i="1"/>
  <c r="I19" i="1"/>
  <c r="J15" i="1"/>
  <c r="I15" i="1"/>
  <c r="J17" i="1"/>
  <c r="I17" i="1"/>
  <c r="I16" i="1"/>
  <c r="G36" i="1"/>
  <c r="G37" i="1"/>
  <c r="G38" i="1"/>
  <c r="G39" i="1"/>
  <c r="G40" i="1"/>
  <c r="G41" i="1"/>
  <c r="G42" i="1"/>
  <c r="G44" i="1"/>
  <c r="G45" i="1"/>
  <c r="G46" i="1"/>
  <c r="G47" i="1"/>
  <c r="G48" i="1"/>
  <c r="G51" i="1"/>
  <c r="G52" i="1"/>
  <c r="G53" i="1"/>
  <c r="G54" i="1"/>
  <c r="G55" i="1"/>
  <c r="G56" i="1"/>
  <c r="G59" i="1"/>
  <c r="G60" i="1"/>
  <c r="G61" i="1"/>
  <c r="G62" i="1"/>
  <c r="G65" i="1"/>
  <c r="G66" i="1"/>
  <c r="G67" i="1"/>
  <c r="G68" i="1"/>
  <c r="G69" i="1"/>
  <c r="F37" i="1"/>
  <c r="F38" i="1"/>
  <c r="F39" i="1"/>
  <c r="F40" i="1"/>
  <c r="F41" i="1"/>
  <c r="F42" i="1"/>
  <c r="F44" i="1"/>
  <c r="F45" i="1"/>
  <c r="F46" i="1"/>
  <c r="F47" i="1"/>
  <c r="F48" i="1"/>
  <c r="F51" i="1"/>
  <c r="F52" i="1"/>
  <c r="F53" i="1"/>
  <c r="F54" i="1"/>
  <c r="F55" i="1"/>
  <c r="F56" i="1"/>
  <c r="F59" i="1"/>
  <c r="F60" i="1"/>
  <c r="F61" i="1"/>
  <c r="F62" i="1"/>
  <c r="F65" i="1"/>
  <c r="F66" i="1"/>
  <c r="F67" i="1"/>
  <c r="F68" i="1"/>
  <c r="F69" i="1"/>
  <c r="F36" i="1"/>
  <c r="G15" i="1"/>
  <c r="G16" i="1"/>
  <c r="F16" i="1"/>
  <c r="F15" i="1"/>
  <c r="G10" i="1"/>
  <c r="G11" i="1"/>
  <c r="F11" i="1"/>
  <c r="F10" i="1"/>
  <c r="F7" i="1"/>
  <c r="G7" i="1"/>
  <c r="G6" i="1"/>
  <c r="F6" i="1"/>
  <c r="D47" i="3"/>
  <c r="E47" i="3"/>
  <c r="C47" i="3"/>
  <c r="D45" i="3"/>
  <c r="E45" i="3"/>
  <c r="C45" i="3"/>
  <c r="D44" i="3"/>
  <c r="E44" i="3"/>
  <c r="C44" i="3"/>
  <c r="D36" i="3"/>
  <c r="E36" i="3"/>
  <c r="C36" i="3"/>
  <c r="D35" i="3"/>
  <c r="E35" i="3"/>
  <c r="C35" i="3"/>
  <c r="D34" i="3"/>
  <c r="E34" i="3"/>
  <c r="C34" i="3"/>
  <c r="D29" i="3"/>
  <c r="E29" i="3"/>
  <c r="C29" i="3"/>
  <c r="D27" i="3"/>
  <c r="E27" i="3"/>
  <c r="C27" i="3"/>
  <c r="D26" i="3"/>
  <c r="E26" i="3"/>
  <c r="C26" i="3"/>
  <c r="D25" i="3"/>
  <c r="E25" i="3"/>
  <c r="C25" i="3"/>
  <c r="D22" i="3"/>
  <c r="E22" i="3"/>
  <c r="C22" i="3"/>
  <c r="D20" i="3"/>
  <c r="D21" i="3"/>
  <c r="D28" i="3" s="1"/>
  <c r="E21" i="3"/>
  <c r="E20" i="3" s="1"/>
  <c r="C21" i="3"/>
  <c r="C20" i="3" s="1"/>
  <c r="D18" i="3"/>
  <c r="C18" i="3"/>
  <c r="D19" i="3"/>
  <c r="E19" i="3"/>
  <c r="E18" i="3" s="1"/>
  <c r="C19" i="3"/>
  <c r="D17" i="3"/>
  <c r="E17" i="3"/>
  <c r="C17" i="3"/>
  <c r="D10" i="3"/>
  <c r="E10" i="3"/>
  <c r="C10" i="3"/>
  <c r="D7" i="3"/>
  <c r="E7" i="3"/>
  <c r="C7" i="3"/>
  <c r="E6" i="3"/>
  <c r="D6" i="3"/>
  <c r="C6" i="3"/>
  <c r="D5" i="3"/>
  <c r="E5" i="3"/>
  <c r="C5" i="3"/>
  <c r="D108" i="1"/>
  <c r="C108" i="1"/>
  <c r="B108" i="1"/>
  <c r="D99" i="1"/>
  <c r="C99" i="1"/>
  <c r="B99" i="1"/>
  <c r="C28" i="3" l="1"/>
  <c r="E28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<sst xmlns="http://schemas.openxmlformats.org/spreadsheetml/2006/main" count="181" uniqueCount="154">
  <si>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</si>
  <si>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</si>
  <si>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</si>
  <si>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</si>
  <si>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</si>
  <si>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</si>
  <si>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</si>
  <si>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</si>
  <si>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</si>
  <si>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</si>
  <si>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</si>
  <si>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</si>
  <si>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</si>
  <si>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</si>
  <si>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</si>
  <si>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</si>
  <si>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</si>
  <si>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</si>
  <si>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</si>
  <si>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</si>
  <si>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</si>
  <si>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</si>
  <si>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</si>
  <si>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</si>
  <si>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</si>
  <si>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</si>
  <si>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</si>
  <si>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</si>
  <si>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</si>
  <si>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</si>
  <si>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</si>
  <si>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</si>
  <si>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</si>
  <si>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</si>
  <si>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</si>
  <si>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</si>
  <si>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</si>
  <si>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</si>
  <si>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</si>
  <si>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</si>
  <si>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</si>
  <si>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</si>
  <si>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</si>
  <si>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</si>
  <si>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</si>
  <si>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</si>
  <si>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</si>
  <si>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</si>
  <si>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</si>
  <si>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</si>
  <si>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</si>
  <si>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</si>
  <si>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</si>
  <si>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</si>
  <si>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</si>
  <si>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</si>
  <si>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</si>
  <si>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</si>
  <si>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</si>
  <si>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</si>
  <si>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</si>
  <si>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</si>
  <si>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</si>
  <si>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</si>
  <si>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</si>
  <si>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</si>
  <si>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</si>
  <si>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</si>
  <si>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</si>
  <si>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</si>
  <si>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</si>
  <si>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</si>
  <si>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</si>
  <si>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</si>
  <si>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</si>
  <si>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</si>
  <si>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</si>
  <si>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</si>
  <si>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</si>
  <si>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</si>
  <si>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</si>
  <si>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</si>
  <si>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</si>
  <si>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</si>
  <si>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</si>
  <si>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</si>
  <si>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</si>
  <si>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</si>
  <si>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</si>
  <si>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</si>
  <si>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</si>
  <si>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</si>
  <si>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</si>
  <si>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</si>
  <si>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</si>
  <si>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</si>
  <si>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</si>
  <si>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</si>
  <si>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</si>
  <si>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</si>
  <si>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</si>
  <si>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</si>
  <si>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</si>
  <si>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</si>
  <si>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</si>
  <si>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</si>
  <si>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</si>
  <si>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</si>
  <si>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</si>
  <si>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</si>
  <si>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</si>
  <si>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</si>
  <si>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</si>
  <si>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</si>
  <si>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</si>
  <si>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</si>
  <si>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</si>
  <si>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</si>
  <si>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</si>
  <si>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</si>
  <si>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</si>
  <si>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</si>
  <si>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</si>
  <si>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</si>
  <si>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</si>
  <si>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</si>
  <si>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</si>
  <si>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</si>
  <si>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</si>
  <si>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</si>
  <si>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</si>
  <si>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</si>
  <si>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</si>
  <si>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</si>
  <si>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</si>
  <si>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</si>
  <si>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</si>
  <si>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</si>
  <si>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</si>
  <si>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</si>
  <si>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</si>
  <si>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</si>
  <si>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</si>
  <si>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</si>
  <si>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</si>
  <si>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</si>
  <si>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</si>
  <si>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</si>
  <si>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</si>
  <si>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</si>
  <si>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Rates</t>
  </si>
  <si>
    <t>Margins as % of Net Sales</t>
  </si>
  <si>
    <t>Capex calculation</t>
  </si>
  <si>
    <t>Share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</si>
</sst>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71" formatCode="0.000"/>
    <numFmt numFmtId="175" formatCode="_(&quot;$&quot;* #,##0.0000_);_(&quot;$&quot;* \(#,##0.00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3" applyNumberFormat="1" applyFont="1"/>
    <xf numFmtId="10" fontId="2" fillId="0" borderId="2" xfId="3" applyNumberFormat="1" applyFont="1" applyBorder="1"/>
    <xf numFmtId="10" fontId="2" fillId="0" borderId="3" xfId="3" applyNumberFormat="1" applyFont="1" applyBorder="1"/>
    <xf numFmtId="10" fontId="2" fillId="0" borderId="1" xfId="3" applyNumberFormat="1" applyFont="1" applyBorder="1"/>
    <xf numFmtId="10" fontId="0" fillId="0" borderId="3" xfId="3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71" fontId="0" fillId="0" borderId="0" xfId="0" applyNumberFormat="1"/>
    <xf numFmtId="44" fontId="0" fillId="0" borderId="0" xfId="4" applyNumberFormat="1" applyFont="1"/>
    <xf numFmtId="175" fontId="0" fillId="0" borderId="0" xfId="0" applyNumberFormat="1"/>
    <xf numFmtId="10" fontId="0" fillId="0" borderId="0" xfId="0" applyNumberFormat="1"/>
  </cellXfs>
  <cellStyles count="5">
    <cellStyle name="Comma" xfId="1" builtinId="3"/>
    <cellStyle name="Currency" xfId="4" builtinId="4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31" sqref="A31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72" workbookViewId="0">
      <selection activeCell="B25" sqref="B25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6" max="6" width="9.5" bestFit="1" customWidth="1"/>
    <col min="9" max="10" width="10.83203125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30" t="s">
        <v>1</v>
      </c>
      <c r="B2" s="30"/>
      <c r="C2" s="30"/>
      <c r="D2" s="30"/>
    </row>
    <row r="3" spans="1:10" x14ac:dyDescent="0.2">
      <c r="B3" s="29" t="s">
        <v>23</v>
      </c>
      <c r="C3" s="29"/>
      <c r="D3" s="29"/>
      <c r="F3" s="28" t="s">
        <v>150</v>
      </c>
      <c r="G3" s="28"/>
      <c r="I3" s="28" t="s">
        <v>151</v>
      </c>
      <c r="J3" s="28"/>
    </row>
    <row r="4" spans="1:10" x14ac:dyDescent="0.2">
      <c r="B4" s="7">
        <v>2022</v>
      </c>
      <c r="C4" s="7">
        <v>2021</v>
      </c>
      <c r="D4" s="7">
        <v>2020</v>
      </c>
      <c r="F4" s="7">
        <v>2022</v>
      </c>
      <c r="G4" s="7">
        <v>2021</v>
      </c>
      <c r="H4" s="7"/>
      <c r="I4" s="7">
        <v>2022</v>
      </c>
      <c r="J4" s="7">
        <v>2021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  <c r="F6" s="23">
        <f>(B6-C6)/C6</f>
        <v>6.3239764351428418E-2</v>
      </c>
      <c r="G6" s="23">
        <f>(C6-D6)/D6</f>
        <v>0.34720743656765435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  <c r="F7" s="23">
        <f>(B7-C7)/C7</f>
        <v>0.14181951041286078</v>
      </c>
      <c r="G7" s="23">
        <f>(C7-D7)/D7</f>
        <v>0.27259708376729652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F8" s="23"/>
      <c r="G8" s="23"/>
    </row>
    <row r="9" spans="1:10" x14ac:dyDescent="0.2">
      <c r="A9" t="s">
        <v>7</v>
      </c>
      <c r="B9" s="12"/>
      <c r="C9" s="12"/>
      <c r="D9" s="12"/>
      <c r="F9" s="23"/>
      <c r="G9" s="23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  <c r="F10" s="23">
        <f>(B10-C10)/C10</f>
        <v>4.7876379599097081E-2</v>
      </c>
      <c r="G10" s="23">
        <f>(C10-D10)/D10</f>
        <v>0.27087767539626934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  <c r="F11" s="23">
        <f>(B11-C11)/C11</f>
        <v>6.5652908520395847E-2</v>
      </c>
      <c r="G11" s="23">
        <f>(C11-D11)/D11</f>
        <v>0.13363979642094895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I12" s="23">
        <f>B12/B8</f>
        <v>0.56690369438639909</v>
      </c>
      <c r="J12" s="23">
        <f>C12/C8</f>
        <v>0.58220640374832222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  <c r="F15" s="23">
        <f>(B15-C15)/C15</f>
        <v>0.19791001186456147</v>
      </c>
      <c r="G15" s="23">
        <f>(C15-D15)/D15</f>
        <v>0.16862201365187712</v>
      </c>
      <c r="I15" s="23">
        <f>B15/B12</f>
        <v>0.1174299696706718</v>
      </c>
      <c r="J15" s="23">
        <f>C15/C12</f>
        <v>0.10289180725041201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  <c r="F16" s="23">
        <f>(B16-C16)/C16</f>
        <v>0.14203795567287125</v>
      </c>
      <c r="G16" s="23">
        <f>(C16-D16)/D16</f>
        <v>0.10328379192608958</v>
      </c>
      <c r="I16" s="23">
        <f>B16/B12</f>
        <v>0.11225430112817944</v>
      </c>
      <c r="J16" s="23">
        <f>C16/C12</f>
        <v>0.10316882726628197</v>
      </c>
    </row>
    <row r="17" spans="1:10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I17" s="27">
        <f>B17/B12</f>
        <v>0.22968427079885123</v>
      </c>
      <c r="J17" s="27">
        <f>C17/C12</f>
        <v>0.20606063451669399</v>
      </c>
    </row>
    <row r="18" spans="1:10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10" x14ac:dyDescent="0.2">
      <c r="A19" t="s">
        <v>15</v>
      </c>
      <c r="B19" s="12">
        <v>-334</v>
      </c>
      <c r="C19" s="12">
        <v>258</v>
      </c>
      <c r="D19" s="12">
        <v>803</v>
      </c>
      <c r="I19" s="23">
        <f>B19/B12</f>
        <v>-1.4940996483945139E-3</v>
      </c>
      <c r="J19" s="23">
        <f>C19/C12</f>
        <v>1.2113756626177922E-3</v>
      </c>
    </row>
    <row r="20" spans="1:10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10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10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I22" s="24">
        <f>B22/B12</f>
        <v>0.44645397367879541</v>
      </c>
      <c r="J22" s="24">
        <f>C22/C12</f>
        <v>0.44454669665369212</v>
      </c>
    </row>
    <row r="23" spans="1:10" ht="16" thickTop="1" x14ac:dyDescent="0.2">
      <c r="A23" t="s">
        <v>19</v>
      </c>
    </row>
    <row r="24" spans="1:10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10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10" x14ac:dyDescent="0.2">
      <c r="A26" t="s">
        <v>22</v>
      </c>
    </row>
    <row r="27" spans="1:10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10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10" x14ac:dyDescent="0.2">
      <c r="A31" s="30" t="s">
        <v>24</v>
      </c>
      <c r="B31" s="30"/>
      <c r="C31" s="30"/>
      <c r="D31" s="30"/>
    </row>
    <row r="32" spans="1:10" x14ac:dyDescent="0.2">
      <c r="B32" s="29" t="s">
        <v>142</v>
      </c>
      <c r="C32" s="29"/>
      <c r="D32" s="29"/>
      <c r="F32" s="28" t="s">
        <v>150</v>
      </c>
      <c r="G32" s="28"/>
    </row>
    <row r="33" spans="1:8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F33" s="7">
        <v>2022</v>
      </c>
      <c r="G33" s="7">
        <v>2021</v>
      </c>
      <c r="H33" s="7"/>
    </row>
    <row r="35" spans="1:8" x14ac:dyDescent="0.2">
      <c r="A35" t="s">
        <v>25</v>
      </c>
    </row>
    <row r="36" spans="1:8" x14ac:dyDescent="0.2">
      <c r="A36" s="1" t="s">
        <v>26</v>
      </c>
      <c r="B36" s="12">
        <v>23646</v>
      </c>
      <c r="C36" s="12">
        <v>34940</v>
      </c>
      <c r="D36" s="12">
        <v>38016</v>
      </c>
      <c r="F36" s="23">
        <f>(B36-C36)/C36</f>
        <v>-0.32323983972524328</v>
      </c>
      <c r="G36" s="23">
        <f>(C36-D36)/D36</f>
        <v>-8.0913299663299659E-2</v>
      </c>
    </row>
    <row r="37" spans="1:8" x14ac:dyDescent="0.2">
      <c r="A37" s="1" t="s">
        <v>27</v>
      </c>
      <c r="B37" s="12">
        <v>24658</v>
      </c>
      <c r="C37" s="12">
        <v>27699</v>
      </c>
      <c r="D37" s="12">
        <v>52927</v>
      </c>
      <c r="F37" s="23">
        <f t="shared" ref="F37:G69" si="9">(B37-C37)/C37</f>
        <v>-0.10978735694429402</v>
      </c>
      <c r="G37" s="23">
        <f t="shared" si="9"/>
        <v>-0.47665652691442933</v>
      </c>
    </row>
    <row r="38" spans="1:8" x14ac:dyDescent="0.2">
      <c r="A38" s="1" t="s">
        <v>28</v>
      </c>
      <c r="B38" s="12">
        <v>28184</v>
      </c>
      <c r="C38" s="12">
        <v>26278</v>
      </c>
      <c r="D38" s="12">
        <v>16120</v>
      </c>
      <c r="F38" s="23">
        <f t="shared" si="9"/>
        <v>7.2532156176269125E-2</v>
      </c>
      <c r="G38" s="23">
        <f t="shared" si="9"/>
        <v>0.63014888337468977</v>
      </c>
    </row>
    <row r="39" spans="1:8" x14ac:dyDescent="0.2">
      <c r="A39" s="1" t="s">
        <v>29</v>
      </c>
      <c r="B39" s="12">
        <v>4946</v>
      </c>
      <c r="C39" s="12">
        <v>6580</v>
      </c>
      <c r="D39" s="12">
        <v>4061</v>
      </c>
      <c r="F39" s="23">
        <f t="shared" si="9"/>
        <v>-0.24832826747720366</v>
      </c>
      <c r="G39" s="23">
        <f t="shared" si="9"/>
        <v>0.62029056882541245</v>
      </c>
    </row>
    <row r="40" spans="1:8" x14ac:dyDescent="0.2">
      <c r="A40" s="1" t="s">
        <v>47</v>
      </c>
      <c r="B40" s="12">
        <v>32748</v>
      </c>
      <c r="C40" s="12">
        <v>25228</v>
      </c>
      <c r="D40" s="12">
        <v>21325</v>
      </c>
      <c r="F40" s="23">
        <f t="shared" si="9"/>
        <v>0.29808149674964324</v>
      </c>
      <c r="G40" s="23">
        <f t="shared" si="9"/>
        <v>0.18302461899179367</v>
      </c>
    </row>
    <row r="41" spans="1:8" x14ac:dyDescent="0.2">
      <c r="A41" s="1" t="s">
        <v>30</v>
      </c>
      <c r="B41" s="12">
        <v>21223</v>
      </c>
      <c r="C41" s="12">
        <v>14111</v>
      </c>
      <c r="D41" s="12">
        <v>11264</v>
      </c>
      <c r="F41" s="23">
        <f t="shared" si="9"/>
        <v>0.50400396853518536</v>
      </c>
      <c r="G41" s="23">
        <f t="shared" si="9"/>
        <v>0.25275213068181818</v>
      </c>
    </row>
    <row r="42" spans="1:8" x14ac:dyDescent="0.2">
      <c r="A42" s="8" t="s">
        <v>31</v>
      </c>
      <c r="B42" s="13">
        <f>+SUM(B36:B41)</f>
        <v>135405</v>
      </c>
      <c r="C42" s="13">
        <f t="shared" ref="C42:D42" si="10">+SUM(C36:C41)</f>
        <v>134836</v>
      </c>
      <c r="D42" s="13">
        <f t="shared" si="10"/>
        <v>143713</v>
      </c>
      <c r="F42" s="26">
        <f t="shared" si="9"/>
        <v>4.2199412619775131E-3</v>
      </c>
      <c r="G42" s="26">
        <f t="shared" si="9"/>
        <v>-6.176894226687913E-2</v>
      </c>
    </row>
    <row r="43" spans="1:8" x14ac:dyDescent="0.2">
      <c r="A43" t="s">
        <v>48</v>
      </c>
      <c r="B43" s="12"/>
      <c r="C43" s="12"/>
      <c r="D43" s="12"/>
      <c r="F43" s="23"/>
      <c r="G43" s="23"/>
    </row>
    <row r="44" spans="1:8" x14ac:dyDescent="0.2">
      <c r="A44" s="1" t="s">
        <v>27</v>
      </c>
      <c r="B44" s="12">
        <v>120805</v>
      </c>
      <c r="C44" s="12">
        <v>127877</v>
      </c>
      <c r="D44" s="12">
        <v>100887</v>
      </c>
      <c r="F44" s="23">
        <f t="shared" si="9"/>
        <v>-5.5303142863845724E-2</v>
      </c>
      <c r="G44" s="23">
        <f t="shared" si="9"/>
        <v>0.26752703519779553</v>
      </c>
    </row>
    <row r="45" spans="1:8" x14ac:dyDescent="0.2">
      <c r="A45" s="1" t="s">
        <v>32</v>
      </c>
      <c r="B45" s="12">
        <v>42117</v>
      </c>
      <c r="C45" s="12">
        <v>39440</v>
      </c>
      <c r="D45" s="12">
        <v>36766</v>
      </c>
      <c r="F45" s="23">
        <f t="shared" si="9"/>
        <v>6.7875253549695744E-2</v>
      </c>
      <c r="G45" s="23">
        <f t="shared" si="9"/>
        <v>7.2730239895555673E-2</v>
      </c>
    </row>
    <row r="46" spans="1:8" x14ac:dyDescent="0.2">
      <c r="A46" s="1" t="s">
        <v>49</v>
      </c>
      <c r="B46" s="12">
        <v>54428</v>
      </c>
      <c r="C46" s="12">
        <v>48849</v>
      </c>
      <c r="D46" s="12">
        <v>42522</v>
      </c>
      <c r="F46" s="23">
        <f t="shared" si="9"/>
        <v>0.11420909332842023</v>
      </c>
      <c r="G46" s="23">
        <f t="shared" si="9"/>
        <v>0.1487935656836461</v>
      </c>
    </row>
    <row r="47" spans="1:8" x14ac:dyDescent="0.2">
      <c r="A47" s="8" t="s">
        <v>50</v>
      </c>
      <c r="B47" s="13">
        <f>+SUM(B44:B46)</f>
        <v>217350</v>
      </c>
      <c r="C47" s="13">
        <f t="shared" ref="C47:D47" si="11">+SUM(C44:C46)</f>
        <v>216166</v>
      </c>
      <c r="D47" s="13">
        <f t="shared" si="11"/>
        <v>180175</v>
      </c>
      <c r="F47" s="25">
        <f t="shared" si="9"/>
        <v>5.4772720964443994E-3</v>
      </c>
      <c r="G47" s="25">
        <f t="shared" si="9"/>
        <v>0.19975579297904814</v>
      </c>
    </row>
    <row r="48" spans="1:8" ht="16" thickBot="1" x14ac:dyDescent="0.25">
      <c r="A48" s="9" t="s">
        <v>33</v>
      </c>
      <c r="B48" s="14">
        <f>+B42+B47</f>
        <v>352755</v>
      </c>
      <c r="C48" s="14">
        <f t="shared" ref="C48:D48" si="12">+C42+C47</f>
        <v>351002</v>
      </c>
      <c r="D48" s="14">
        <f t="shared" si="12"/>
        <v>323888</v>
      </c>
      <c r="F48" s="24">
        <f t="shared" si="9"/>
        <v>4.9942735369029236E-3</v>
      </c>
      <c r="G48" s="24">
        <f t="shared" si="9"/>
        <v>8.3714123400681711E-2</v>
      </c>
    </row>
    <row r="49" spans="1:7" ht="16" thickTop="1" x14ac:dyDescent="0.2">
      <c r="F49" s="23"/>
      <c r="G49" s="23"/>
    </row>
    <row r="50" spans="1:7" x14ac:dyDescent="0.2">
      <c r="A50" t="s">
        <v>34</v>
      </c>
      <c r="F50" s="23"/>
      <c r="G50" s="23"/>
    </row>
    <row r="51" spans="1:7" x14ac:dyDescent="0.2">
      <c r="A51" s="1" t="s">
        <v>35</v>
      </c>
      <c r="B51" s="12">
        <v>64115</v>
      </c>
      <c r="C51" s="12">
        <v>54763</v>
      </c>
      <c r="D51" s="12">
        <v>42296</v>
      </c>
      <c r="F51" s="23">
        <f t="shared" si="9"/>
        <v>0.17077223672917846</v>
      </c>
      <c r="G51" s="23">
        <f t="shared" si="9"/>
        <v>0.29475600529600909</v>
      </c>
    </row>
    <row r="52" spans="1:7" x14ac:dyDescent="0.2">
      <c r="A52" s="1" t="s">
        <v>36</v>
      </c>
      <c r="B52" s="12">
        <v>60845</v>
      </c>
      <c r="C52" s="12">
        <v>47493</v>
      </c>
      <c r="D52" s="12">
        <v>42684</v>
      </c>
      <c r="F52" s="23">
        <f t="shared" si="9"/>
        <v>0.28113616743520098</v>
      </c>
      <c r="G52" s="23">
        <f t="shared" si="9"/>
        <v>0.1126651672757942</v>
      </c>
    </row>
    <row r="53" spans="1:7" x14ac:dyDescent="0.2">
      <c r="A53" s="1" t="s">
        <v>37</v>
      </c>
      <c r="B53" s="12">
        <v>7912</v>
      </c>
      <c r="C53" s="12">
        <v>7612</v>
      </c>
      <c r="D53" s="12">
        <v>6643</v>
      </c>
      <c r="F53" s="23">
        <f t="shared" si="9"/>
        <v>3.9411455596426698E-2</v>
      </c>
      <c r="G53" s="23">
        <f t="shared" si="9"/>
        <v>0.14586783079933766</v>
      </c>
    </row>
    <row r="54" spans="1:7" x14ac:dyDescent="0.2">
      <c r="A54" s="1" t="s">
        <v>38</v>
      </c>
      <c r="B54" s="12">
        <v>9982</v>
      </c>
      <c r="C54" s="12">
        <v>6000</v>
      </c>
      <c r="D54" s="12">
        <v>4996</v>
      </c>
      <c r="F54" s="23">
        <f t="shared" si="9"/>
        <v>0.66366666666666663</v>
      </c>
      <c r="G54" s="23">
        <f t="shared" si="9"/>
        <v>0.20096076861489193</v>
      </c>
    </row>
    <row r="55" spans="1:7" x14ac:dyDescent="0.2">
      <c r="A55" s="1" t="s">
        <v>39</v>
      </c>
      <c r="B55" s="12">
        <v>11128</v>
      </c>
      <c r="C55" s="12">
        <v>9613</v>
      </c>
      <c r="D55" s="12">
        <v>8773</v>
      </c>
      <c r="F55" s="23">
        <f t="shared" si="9"/>
        <v>0.15759908457297409</v>
      </c>
      <c r="G55" s="23">
        <f t="shared" si="9"/>
        <v>9.5748318705117977E-2</v>
      </c>
    </row>
    <row r="56" spans="1:7" x14ac:dyDescent="0.2">
      <c r="A56" s="8" t="s">
        <v>40</v>
      </c>
      <c r="B56" s="13">
        <f>+SUM(B51:B55)</f>
        <v>153982</v>
      </c>
      <c r="C56" s="13">
        <f t="shared" ref="C56:D56" si="13">+SUM(C51:C55)</f>
        <v>125481</v>
      </c>
      <c r="D56" s="13">
        <f t="shared" si="13"/>
        <v>105392</v>
      </c>
      <c r="F56" s="26">
        <f t="shared" si="9"/>
        <v>0.22713398841258836</v>
      </c>
      <c r="G56" s="26">
        <f t="shared" si="9"/>
        <v>0.19061219067860938</v>
      </c>
    </row>
    <row r="57" spans="1:7" x14ac:dyDescent="0.2">
      <c r="A57" t="s">
        <v>51</v>
      </c>
      <c r="B57" s="12"/>
      <c r="C57" s="12"/>
      <c r="D57" s="12"/>
      <c r="F57" s="23"/>
      <c r="G57" s="23"/>
    </row>
    <row r="58" spans="1:7" x14ac:dyDescent="0.2">
      <c r="A58" s="1" t="s">
        <v>37</v>
      </c>
      <c r="B58" s="12"/>
      <c r="C58" s="12"/>
      <c r="D58" s="12"/>
      <c r="F58" s="23"/>
      <c r="G58" s="23"/>
    </row>
    <row r="59" spans="1:7" x14ac:dyDescent="0.2">
      <c r="A59" s="1" t="s">
        <v>39</v>
      </c>
      <c r="B59" s="12">
        <v>98959</v>
      </c>
      <c r="C59" s="12">
        <v>109106</v>
      </c>
      <c r="D59" s="12">
        <v>98667</v>
      </c>
      <c r="F59" s="23">
        <f t="shared" si="9"/>
        <v>-9.3001301486627677E-2</v>
      </c>
      <c r="G59" s="23">
        <f t="shared" si="9"/>
        <v>0.1058003182421681</v>
      </c>
    </row>
    <row r="60" spans="1:7" x14ac:dyDescent="0.2">
      <c r="A60" s="1" t="s">
        <v>52</v>
      </c>
      <c r="B60" s="12">
        <v>49142</v>
      </c>
      <c r="C60" s="12">
        <v>53325</v>
      </c>
      <c r="D60" s="12">
        <v>54490</v>
      </c>
      <c r="F60" s="23">
        <f t="shared" si="9"/>
        <v>-7.8443506797937171E-2</v>
      </c>
      <c r="G60" s="23">
        <f t="shared" si="9"/>
        <v>-2.1380069737566527E-2</v>
      </c>
    </row>
    <row r="61" spans="1:7" x14ac:dyDescent="0.2">
      <c r="A61" s="22" t="s">
        <v>53</v>
      </c>
      <c r="B61" s="21">
        <f>+B59+B60</f>
        <v>148101</v>
      </c>
      <c r="C61" s="21">
        <f t="shared" ref="C61:D61" si="14">+C59+C60</f>
        <v>162431</v>
      </c>
      <c r="D61" s="21">
        <f t="shared" si="14"/>
        <v>153157</v>
      </c>
      <c r="F61" s="27">
        <f t="shared" si="9"/>
        <v>-8.8222075835277747E-2</v>
      </c>
      <c r="G61" s="27">
        <f t="shared" si="9"/>
        <v>6.0552243775994566E-2</v>
      </c>
    </row>
    <row r="62" spans="1:7" x14ac:dyDescent="0.2">
      <c r="A62" s="8" t="s">
        <v>41</v>
      </c>
      <c r="B62" s="13">
        <f>+B56+B61</f>
        <v>302083</v>
      </c>
      <c r="C62" s="13">
        <f t="shared" ref="C62:D62" si="15">+C56+C61</f>
        <v>287912</v>
      </c>
      <c r="D62" s="13">
        <f t="shared" si="15"/>
        <v>258549</v>
      </c>
      <c r="F62" s="26">
        <f t="shared" si="9"/>
        <v>4.9219900525160468E-2</v>
      </c>
      <c r="G62" s="26">
        <f t="shared" si="9"/>
        <v>0.11356841449783213</v>
      </c>
    </row>
    <row r="63" spans="1:7" x14ac:dyDescent="0.2">
      <c r="B63" s="12"/>
      <c r="C63" s="12"/>
      <c r="D63" s="12"/>
      <c r="F63" s="23"/>
      <c r="G63" s="23"/>
    </row>
    <row r="64" spans="1:7" x14ac:dyDescent="0.2">
      <c r="A64" t="s">
        <v>42</v>
      </c>
      <c r="B64" s="12"/>
      <c r="C64" s="12"/>
      <c r="D64" s="12"/>
      <c r="F64" s="23"/>
      <c r="G64" s="23"/>
    </row>
    <row r="65" spans="1:7" x14ac:dyDescent="0.2">
      <c r="A65" s="1" t="s">
        <v>54</v>
      </c>
      <c r="B65" s="12">
        <v>64849</v>
      </c>
      <c r="C65" s="12">
        <v>57365</v>
      </c>
      <c r="D65" s="12">
        <v>50779</v>
      </c>
      <c r="F65" s="23">
        <f t="shared" si="9"/>
        <v>0.1304628257648392</v>
      </c>
      <c r="G65" s="23">
        <f t="shared" si="9"/>
        <v>0.12969928513755685</v>
      </c>
    </row>
    <row r="66" spans="1:7" x14ac:dyDescent="0.2">
      <c r="A66" s="1" t="s">
        <v>43</v>
      </c>
      <c r="B66" s="12">
        <v>-3068</v>
      </c>
      <c r="C66" s="12">
        <v>5562</v>
      </c>
      <c r="D66" s="12">
        <v>14966</v>
      </c>
      <c r="F66" s="23">
        <f t="shared" si="9"/>
        <v>-1.5516001438331535</v>
      </c>
      <c r="G66" s="23">
        <f t="shared" si="9"/>
        <v>-0.62835761058399042</v>
      </c>
    </row>
    <row r="67" spans="1:7" x14ac:dyDescent="0.2">
      <c r="A67" s="1" t="s">
        <v>44</v>
      </c>
      <c r="B67" s="12">
        <v>-11109</v>
      </c>
      <c r="C67" s="12">
        <v>163</v>
      </c>
      <c r="D67" s="12">
        <v>-406</v>
      </c>
      <c r="F67" s="23">
        <f t="shared" si="9"/>
        <v>-69.153374233128829</v>
      </c>
      <c r="G67" s="23">
        <f t="shared" si="9"/>
        <v>-1.4014778325123152</v>
      </c>
    </row>
    <row r="68" spans="1:7" x14ac:dyDescent="0.2">
      <c r="A68" s="8" t="s">
        <v>45</v>
      </c>
      <c r="B68" s="13">
        <f>+SUM(B65:B67)</f>
        <v>50672</v>
      </c>
      <c r="C68" s="13">
        <f t="shared" ref="C68:D68" si="16">+SUM(C65:C67)</f>
        <v>63090</v>
      </c>
      <c r="D68" s="13">
        <f t="shared" si="16"/>
        <v>65339</v>
      </c>
      <c r="F68" s="25">
        <f t="shared" si="9"/>
        <v>-0.19682992550324932</v>
      </c>
      <c r="G68" s="25">
        <f t="shared" si="9"/>
        <v>-3.4420483937617659E-2</v>
      </c>
    </row>
    <row r="69" spans="1:7" ht="16" thickBot="1" x14ac:dyDescent="0.25">
      <c r="A69" s="9" t="s">
        <v>46</v>
      </c>
      <c r="B69" s="14">
        <f>+B68+B62</f>
        <v>352755</v>
      </c>
      <c r="C69" s="14">
        <f t="shared" ref="C69:D69" si="17">+C68+C62</f>
        <v>351002</v>
      </c>
      <c r="D69" s="14">
        <f t="shared" si="17"/>
        <v>323888</v>
      </c>
      <c r="F69" s="24">
        <f t="shared" si="9"/>
        <v>4.9942735369029236E-3</v>
      </c>
      <c r="G69" s="24">
        <f t="shared" si="9"/>
        <v>8.3714123400681711E-2</v>
      </c>
    </row>
    <row r="70" spans="1:7" ht="16" thickTop="1" x14ac:dyDescent="0.2"/>
    <row r="71" spans="1:7" x14ac:dyDescent="0.2">
      <c r="A71" s="30" t="s">
        <v>55</v>
      </c>
      <c r="B71" s="30"/>
      <c r="C71" s="30"/>
      <c r="D71" s="30"/>
    </row>
    <row r="72" spans="1:7" x14ac:dyDescent="0.2">
      <c r="B72" s="29" t="s">
        <v>23</v>
      </c>
      <c r="C72" s="29"/>
      <c r="D72" s="29"/>
    </row>
    <row r="73" spans="1:7" x14ac:dyDescent="0.2">
      <c r="B73" s="7">
        <f>+B33</f>
        <v>2022</v>
      </c>
      <c r="C73" s="7">
        <f t="shared" ref="C73:D73" si="18">+C33</f>
        <v>2021</v>
      </c>
      <c r="D73" s="7">
        <f t="shared" si="18"/>
        <v>2020</v>
      </c>
    </row>
    <row r="75" spans="1:7" x14ac:dyDescent="0.2">
      <c r="A75" s="7" t="s">
        <v>56</v>
      </c>
      <c r="B75" s="15"/>
      <c r="C75" s="15"/>
      <c r="D75" s="15"/>
    </row>
    <row r="76" spans="1:7" x14ac:dyDescent="0.2">
      <c r="A76" t="s">
        <v>57</v>
      </c>
      <c r="B76" s="12">
        <f>+B22</f>
        <v>99803</v>
      </c>
      <c r="C76" s="12">
        <f t="shared" ref="C76:D76" si="19">+C22</f>
        <v>94680</v>
      </c>
      <c r="D76" s="12">
        <f t="shared" si="19"/>
        <v>57411</v>
      </c>
    </row>
    <row r="77" spans="1:7" x14ac:dyDescent="0.2">
      <c r="A77" s="11" t="s">
        <v>18</v>
      </c>
      <c r="B77" s="15"/>
      <c r="C77" s="15"/>
      <c r="D77" s="15"/>
    </row>
    <row r="78" spans="1:7" x14ac:dyDescent="0.2">
      <c r="A78" s="1" t="s">
        <v>58</v>
      </c>
      <c r="B78" s="12"/>
      <c r="C78" s="12"/>
      <c r="D78" s="12"/>
    </row>
    <row r="79" spans="1:7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7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20">+SUM(C76:C90)</f>
        <v>104038</v>
      </c>
      <c r="D91" s="13">
        <f t="shared" si="20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1">+SUM(C93:C98)</f>
        <v>-14545</v>
      </c>
      <c r="D99" s="13">
        <f t="shared" si="21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2">+SUM(C101:C107)</f>
        <v>-93353</v>
      </c>
      <c r="D108" s="13">
        <f t="shared" si="22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3">+C91+C99+C108</f>
        <v>-3860</v>
      </c>
      <c r="D109" s="13">
        <f t="shared" si="23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9">
    <mergeCell ref="I3:J3"/>
    <mergeCell ref="B3:D3"/>
    <mergeCell ref="B32:D32"/>
    <mergeCell ref="B72:D72"/>
    <mergeCell ref="A2:D2"/>
    <mergeCell ref="A31:D31"/>
    <mergeCell ref="A71:D71"/>
    <mergeCell ref="F32:G32"/>
    <mergeCell ref="F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abSelected="1" topLeftCell="A16" workbookViewId="0">
      <selection activeCell="D51" sqref="D5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3.33203125" bestFit="1" customWidth="1"/>
    <col min="4" max="5" width="12.6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9" t="s">
        <v>23</v>
      </c>
      <c r="D2" s="29"/>
      <c r="E2" s="29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>
        <f>('Financial Statements'!B42-'Financial Statements'!B39)/'Financial Statements'!B56</f>
        <v>0.84723539114961488</v>
      </c>
      <c r="D6">
        <f>('Financial Statements'!C42-'Financial Statements'!C39)/'Financial Statements'!C56</f>
        <v>1.0221149018576519</v>
      </c>
      <c r="E6">
        <f>('Financial Statements'!D42-'Financial Statements'!D39)/'Financial Statements'!D56</f>
        <v>1.325072111735236</v>
      </c>
    </row>
    <row r="7" spans="1:10" x14ac:dyDescent="0.2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>
        <f>'Financial Statements'!B42/'Financial Statements'!B17</f>
        <v>2.6371603856266432</v>
      </c>
      <c r="D8">
        <f>'Financial Statements'!C42/'Financial Statements'!C17</f>
        <v>3.072344885729259</v>
      </c>
      <c r="E8">
        <f>'Financial Statements'!D42/'Financial Statements'!D17</f>
        <v>3.7165873590565841</v>
      </c>
    </row>
    <row r="9" spans="1:10" x14ac:dyDescent="0.2">
      <c r="A9" s="18">
        <f t="shared" si="0"/>
        <v>1.5000000000000004</v>
      </c>
      <c r="B9" s="1" t="s">
        <v>104</v>
      </c>
      <c r="C9">
        <f>(('Financial Statements'!B39-'Financial Statements'!C39)/2)/'Financial Statements'!B12</f>
        <v>-3.6547287806536462E-3</v>
      </c>
      <c r="D9">
        <f>(('Financial Statements'!C39-'Financial Statements'!D39)/2)/'Financial Statements'!C12</f>
        <v>5.9136730506477104E-3</v>
      </c>
    </row>
    <row r="10" spans="1:10" x14ac:dyDescent="0.2">
      <c r="A10" s="18">
        <f t="shared" si="0"/>
        <v>1.6000000000000005</v>
      </c>
      <c r="B10" s="1" t="s">
        <v>105</v>
      </c>
      <c r="C10">
        <f>('Financial Statements'!B12/'Financial Statements'!B51)*365</f>
        <v>1272.6240349372222</v>
      </c>
      <c r="D10">
        <f>('Financial Statements'!C12/'Financial Statements'!C51)*365</f>
        <v>1419.5362744919014</v>
      </c>
      <c r="E10">
        <f>('Financial Statements'!D12/'Financial Statements'!D51)*365</f>
        <v>1463.2361216190657</v>
      </c>
    </row>
    <row r="11" spans="1:10" x14ac:dyDescent="0.2">
      <c r="A11" s="18">
        <f t="shared" si="0"/>
        <v>1.7000000000000006</v>
      </c>
      <c r="B11" s="1" t="s">
        <v>106</v>
      </c>
      <c r="C11">
        <f>(('Financial Statements'!B38-'Financial Statements'!C38)/2)/'Financial Statements'!B89</f>
        <v>1.993723849372385</v>
      </c>
      <c r="D11">
        <f>(('Financial Statements'!C38-'Financial Statements'!D38)/2)/'Financial Statements'!C89</f>
        <v>3.0304295942720763</v>
      </c>
    </row>
    <row r="12" spans="1:10" x14ac:dyDescent="0.2">
      <c r="A12" s="18">
        <f t="shared" si="0"/>
        <v>1.8000000000000007</v>
      </c>
      <c r="B12" s="1" t="s">
        <v>107</v>
      </c>
      <c r="C12" s="31">
        <f>C11+C10+C9</f>
        <v>1274.6141040578138</v>
      </c>
      <c r="D12" s="31">
        <f>D11+D10+D9</f>
        <v>1422.5726177592242</v>
      </c>
    </row>
    <row r="13" spans="1:10" x14ac:dyDescent="0.2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</row>
    <row r="14" spans="1:10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5" x14ac:dyDescent="0.2">
      <c r="A18" s="18">
        <f>+A17+0.1</f>
        <v>2.2000000000000002</v>
      </c>
      <c r="B18" s="1" t="s">
        <v>111</v>
      </c>
      <c r="C18" s="23">
        <f>C19/'Financial Statements'!B8</f>
        <v>0.30672688726136615</v>
      </c>
      <c r="D18" s="23">
        <f>D19/'Financial Statements'!C8</f>
        <v>0.29782377527561593</v>
      </c>
      <c r="E18" s="23">
        <f>E19/'Financial Statements'!D8</f>
        <v>0.27315082964501031</v>
      </c>
    </row>
    <row r="19" spans="1:5" x14ac:dyDescent="0.2">
      <c r="A19" s="18"/>
      <c r="B19" s="3" t="s">
        <v>112</v>
      </c>
      <c r="C19">
        <f>'Financial Statements'!B76+SUM('Financial Statements'!B79,'Financial Statements'!B80,'Financial Statements'!B81,'Financial Statements'!B82)</f>
        <v>120951</v>
      </c>
      <c r="D19">
        <f>'Financial Statements'!C76+SUM('Financial Statements'!C79,'Financial Statements'!C80,'Financial Statements'!C81,'Financial Statements'!C82)</f>
        <v>108949</v>
      </c>
      <c r="E19">
        <f>'Financial Statements'!D76+SUM('Financial Statements'!D79,'Financial Statements'!D80,'Financial Statements'!D81,'Financial Statements'!D82)</f>
        <v>74984</v>
      </c>
    </row>
    <row r="20" spans="1:5" x14ac:dyDescent="0.2">
      <c r="A20" s="18">
        <f>+A18+0.1</f>
        <v>2.3000000000000003</v>
      </c>
      <c r="B20" s="1" t="s">
        <v>113</v>
      </c>
      <c r="C20" s="23">
        <f>C21/'Financial Statements'!B8</f>
        <v>0.27856758840356249</v>
      </c>
      <c r="D20" s="23">
        <f>D21/'Financial Statements'!C8</f>
        <v>0.2669777511706673</v>
      </c>
      <c r="E20" s="23">
        <f>E21/'Financial Statements'!D8</f>
        <v>0.2328761634154782</v>
      </c>
    </row>
    <row r="21" spans="1:5" x14ac:dyDescent="0.2">
      <c r="A21" s="18"/>
      <c r="B21" s="3" t="s">
        <v>114</v>
      </c>
      <c r="C21">
        <f>'Financial Statements'!B76+SUM('Financial Statements'!B80:B82)</f>
        <v>109847</v>
      </c>
      <c r="D21">
        <f>'Financial Statements'!C76+SUM('Financial Statements'!C80:C82)</f>
        <v>97665</v>
      </c>
      <c r="E21">
        <f>'Financial Statements'!D76+SUM('Financial Statements'!D80:D82)</f>
        <v>63928</v>
      </c>
    </row>
    <row r="22" spans="1:5" x14ac:dyDescent="0.2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>
        <f>('Financial Statements'!B55+'Financial Statements'!B59+'Financial Statements'!B60)/'Financial Statements'!B68</f>
        <v>3.1423468582254501</v>
      </c>
      <c r="D25">
        <f>('Financial Statements'!C55+'Financial Statements'!C59+'Financial Statements'!C60)/'Financial Statements'!C68</f>
        <v>2.7269614835948643</v>
      </c>
      <c r="E25">
        <f>('Financial Statements'!D55+'Financial Statements'!D59+'Financial Statements'!D60)/'Financial Statements'!D68</f>
        <v>2.4783054530984558</v>
      </c>
    </row>
    <row r="26" spans="1:5" x14ac:dyDescent="0.2">
      <c r="A26" s="18">
        <f t="shared" ref="A26:A30" si="1">+A25+0.1</f>
        <v>3.2</v>
      </c>
      <c r="B26" s="1" t="s">
        <v>118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</row>
    <row r="27" spans="1:5" x14ac:dyDescent="0.2">
      <c r="A27" s="18">
        <f t="shared" si="1"/>
        <v>3.3000000000000003</v>
      </c>
      <c r="B27" s="1" t="s">
        <v>119</v>
      </c>
      <c r="C27">
        <f>('Financial Statements'!B59+'Financial Statements'!B60)/('Financial Statements'!B59+'Financial Statements'!B60+'Financial Statements'!B68)</f>
        <v>0.74507604151469264</v>
      </c>
      <c r="D27">
        <f>('Financial Statements'!C59+'Financial Statements'!C60)/('Financial Statements'!C59+'Financial Statements'!C60+'Financial Statements'!C68)</f>
        <v>0.72024778180302496</v>
      </c>
      <c r="E27">
        <f>('Financial Statements'!D59+'Financial Statements'!D60)/('Financial Statements'!D59+'Financial Statements'!D60+'Financial Statements'!D68)</f>
        <v>0.70096020064440534</v>
      </c>
    </row>
    <row r="28" spans="1:5" x14ac:dyDescent="0.2">
      <c r="A28" s="18">
        <f t="shared" si="1"/>
        <v>3.4000000000000004</v>
      </c>
      <c r="B28" s="1" t="s">
        <v>120</v>
      </c>
      <c r="C28">
        <f>C21/'Financial Statements'!B114</f>
        <v>38.341012216404884</v>
      </c>
      <c r="D28">
        <f>D21/'Financial Statements'!C114</f>
        <v>36.347227391142539</v>
      </c>
      <c r="E28">
        <f>E21/'Financial Statements'!D114</f>
        <v>21.295136575616255</v>
      </c>
    </row>
    <row r="29" spans="1:5" x14ac:dyDescent="0.2">
      <c r="A29" s="18">
        <f t="shared" si="1"/>
        <v>3.5000000000000004</v>
      </c>
      <c r="B29" s="1" t="s">
        <v>121</v>
      </c>
      <c r="C29">
        <f>'Financial Statements'!B91/(SUM('Financial Statements'!B93:B98))</f>
        <v>-5.4643911604187174</v>
      </c>
      <c r="D29">
        <f>'Financial Statements'!C91/(SUM('Financial Statements'!C93:C98))</f>
        <v>-7.1528360261258168</v>
      </c>
      <c r="E29">
        <f>'Financial Statements'!D91/(SUM('Financial Statements'!D93:D98))</f>
        <v>-18.809512706924693</v>
      </c>
    </row>
    <row r="30" spans="1:5" x14ac:dyDescent="0.2">
      <c r="A30" s="18">
        <f t="shared" si="1"/>
        <v>3.6000000000000005</v>
      </c>
      <c r="B30" s="1" t="s">
        <v>122</v>
      </c>
      <c r="C30" s="33">
        <f>C31/'Financial Statements'!B27</f>
        <v>7.3118075072075581E-3</v>
      </c>
      <c r="D30" s="33">
        <f>D31/'Financial Statements'!C27</f>
        <v>5.1096706885559373E-3</v>
      </c>
    </row>
    <row r="31" spans="1:5" x14ac:dyDescent="0.2">
      <c r="A31" s="18"/>
      <c r="B31" s="3" t="s">
        <v>123</v>
      </c>
      <c r="C31" s="32">
        <f>'Financial Statements'!B22+'Financial Statements'!B79+'Financial Statements'!B114-'List of Ratios'!C14-'Final Task'!B8</f>
        <v>118568</v>
      </c>
      <c r="D31" s="32">
        <f>'Financial Statements'!C22+'Financial Statements'!C79+'Financial Statements'!C114-'List of Ratios'!D14-'Final Task'!C8</f>
        <v>85338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5" x14ac:dyDescent="0.2">
      <c r="A35" s="18">
        <f t="shared" ref="A35:A37" si="2">+A34+0.1</f>
        <v>4.1999999999999993</v>
      </c>
      <c r="B35" s="1" t="s">
        <v>126</v>
      </c>
      <c r="C35">
        <f>'Financial Statements'!B8/'Financial Statements'!B47</f>
        <v>1.8142535081665516</v>
      </c>
      <c r="D35">
        <f>'Financial Statements'!C8/'Financial Statements'!C47</f>
        <v>1.6922966608994938</v>
      </c>
      <c r="E35">
        <f>'Financial Statements'!D8/'Financial Statements'!D47</f>
        <v>1.5236020535590398</v>
      </c>
    </row>
    <row r="36" spans="1:5" x14ac:dyDescent="0.2">
      <c r="A36" s="18">
        <f t="shared" si="2"/>
        <v>4.2999999999999989</v>
      </c>
      <c r="B36" s="1" t="s">
        <v>127</v>
      </c>
      <c r="C36">
        <f>'Financial Statements'!B8/'Financial Statements'!B85</f>
        <v>265.71967654986526</v>
      </c>
      <c r="D36">
        <f>'Financial Statements'!C8/'Financial Statements'!C85</f>
        <v>-138.46214988644965</v>
      </c>
      <c r="E36">
        <f>'Financial Statements'!D8/'Financial Statements'!D85</f>
        <v>-2161.535433070866</v>
      </c>
    </row>
    <row r="37" spans="1:5" x14ac:dyDescent="0.2">
      <c r="A37" s="18">
        <f t="shared" si="2"/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>
        <f>C53/C41</f>
        <v>18290.091485286626</v>
      </c>
      <c r="D40">
        <f t="shared" ref="D40:E40" si="3">D53/D41</f>
        <v>26925.453459919649</v>
      </c>
      <c r="E40">
        <f t="shared" si="3"/>
        <v>31724.60254236418</v>
      </c>
    </row>
    <row r="41" spans="1:5" x14ac:dyDescent="0.2">
      <c r="A41" s="18">
        <f t="shared" ref="A41:A44" si="4">+A40+0.1</f>
        <v>5.1999999999999993</v>
      </c>
      <c r="B41" s="3" t="s">
        <v>131</v>
      </c>
      <c r="C41">
        <f>('Financial Statements'!B22-'Financial Statements'!B102)/(('Financial Statements'!B27+'Financial Statements'!B28)/2)</f>
        <v>7.0459571021648411E-3</v>
      </c>
      <c r="D41">
        <f>('Financial Statements'!C22-'Financial Statements'!C102)/(('Financial Statements'!C27+'Financial Statements'!C28)/2)</f>
        <v>6.503389079803544E-3</v>
      </c>
      <c r="E41">
        <f>('Financial Statements'!D22-'Financial Statements'!D102)/(('Financial Statements'!D27+'Financial Statements'!D28)/2)</f>
        <v>4.0992727907729551E-3</v>
      </c>
    </row>
    <row r="42" spans="1:5" x14ac:dyDescent="0.2">
      <c r="A42" s="18">
        <f t="shared" si="4"/>
        <v>5.2999999999999989</v>
      </c>
      <c r="B42" s="1" t="s">
        <v>132</v>
      </c>
    </row>
    <row r="43" spans="1:5" x14ac:dyDescent="0.2">
      <c r="A43" s="18">
        <f t="shared" si="4"/>
        <v>5.3999999999999986</v>
      </c>
      <c r="B43" s="3" t="s">
        <v>133</v>
      </c>
      <c r="C43">
        <f>('Financial Statements'!B68-'Financial Statements'!B65)/(('Financial Statements'!B27+'Financial Statements'!B28)/2)</f>
        <v>-8.7131061230758661E-4</v>
      </c>
      <c r="D43">
        <f>('Financial Statements'!C68-'Financial Statements'!C65)/(('Financial Statements'!C27+'Financial Statements'!C28)/2)</f>
        <v>3.4111704840147038E-4</v>
      </c>
      <c r="E43">
        <f>('Financial Statements'!D68-'Financial Statements'!D65)/(('Financial Statements'!D27+'Financial Statements'!D28)/2)</f>
        <v>8.3485441495068297E-4</v>
      </c>
    </row>
    <row r="44" spans="1:5" x14ac:dyDescent="0.2">
      <c r="A44" s="18">
        <f t="shared" si="4"/>
        <v>5.4999999999999982</v>
      </c>
      <c r="B44" s="1" t="s">
        <v>134</v>
      </c>
      <c r="C44">
        <f>'Financial Statements'!B102/'Financial Statements'!B76</f>
        <v>-0.14870294480125848</v>
      </c>
      <c r="D44">
        <f>'Financial Statements'!C102/'Financial Statements'!C76</f>
        <v>-0.15279890156316012</v>
      </c>
      <c r="E44">
        <f>'Financial Statements'!D102/'Financial Statements'!D76</f>
        <v>-0.24526658654264863</v>
      </c>
    </row>
    <row r="45" spans="1:5" x14ac:dyDescent="0.2">
      <c r="A45" s="18"/>
      <c r="B45" s="3" t="s">
        <v>135</v>
      </c>
      <c r="C45">
        <f>'Financial Statements'!B102/'Financial Statements'!B27</f>
        <v>-9.1520929099307886E-4</v>
      </c>
      <c r="D45">
        <f>'Financial Statements'!C102/'Financial Statements'!C27</f>
        <v>-8.6622144708498852E-4</v>
      </c>
      <c r="E45">
        <f>'Financial Statements'!D102/'Financial Statements'!D27</f>
        <v>-8.1148590555424381E-4</v>
      </c>
    </row>
    <row r="46" spans="1:5" x14ac:dyDescent="0.2">
      <c r="A46" s="18">
        <f>+A44+0.1</f>
        <v>5.5999999999999979</v>
      </c>
      <c r="B46" s="1" t="s">
        <v>136</v>
      </c>
      <c r="C46">
        <f>'List of Ratios'!C45/'List of Ratios'!C53</f>
        <v>-7.1017363925615574E-6</v>
      </c>
      <c r="D46">
        <f>'List of Ratios'!D45/'List of Ratios'!D53</f>
        <v>-4.9468206932401137E-6</v>
      </c>
      <c r="E46">
        <f>'List of Ratios'!E45/'List of Ratios'!E53</f>
        <v>-6.2399049084586114E-6</v>
      </c>
    </row>
    <row r="47" spans="1:5" x14ac:dyDescent="0.2">
      <c r="A47" s="18">
        <f t="shared" ref="A47:A50" si="5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5" x14ac:dyDescent="0.2">
      <c r="A48" s="18">
        <f t="shared" si="5"/>
        <v>5.6999999999999975</v>
      </c>
      <c r="B48" s="1" t="s">
        <v>138</v>
      </c>
      <c r="C48" s="23">
        <f>C21/('Financial Statements'!B48-'Financial Statements'!B56)</f>
        <v>0.55262535656251099</v>
      </c>
      <c r="D48" s="23">
        <f>D21/('Financial Statements'!C48-'Financial Statements'!C56)</f>
        <v>0.43306388318604477</v>
      </c>
      <c r="E48" s="23">
        <f>E21/('Financial Statements'!D48-'Financial Statements'!D56)</f>
        <v>0.29258201523140009</v>
      </c>
    </row>
    <row r="49" spans="1:5" x14ac:dyDescent="0.2">
      <c r="A49" s="18">
        <f t="shared" si="5"/>
        <v>0.2</v>
      </c>
      <c r="B49" s="1" t="s">
        <v>128</v>
      </c>
      <c r="C49" s="34">
        <f>C37</f>
        <v>0.28292440929256851</v>
      </c>
      <c r="D49" s="34">
        <f t="shared" ref="D49:E49" si="6">D37</f>
        <v>0.26974205275183616</v>
      </c>
      <c r="E49" s="34">
        <f t="shared" si="6"/>
        <v>0.1772557180259843</v>
      </c>
    </row>
    <row r="50" spans="1:5" x14ac:dyDescent="0.2">
      <c r="A50" s="18">
        <f t="shared" si="5"/>
        <v>5.7999999999999972</v>
      </c>
      <c r="B50" s="1" t="s">
        <v>139</v>
      </c>
      <c r="C50">
        <f>C51/C19</f>
        <v>17280.325867215648</v>
      </c>
      <c r="D50">
        <f t="shared" ref="D50:E50" si="7">D51/D19</f>
        <v>26845.519809474154</v>
      </c>
      <c r="E50">
        <f t="shared" si="7"/>
        <v>30097.933563002771</v>
      </c>
    </row>
    <row r="51" spans="1:5" x14ac:dyDescent="0.2">
      <c r="A51" s="18"/>
      <c r="B51" s="3" t="s">
        <v>140</v>
      </c>
      <c r="C51">
        <f>(C53*'Financial Statements'!B27)+'Financial Statements'!B62</f>
        <v>2090072693.9655998</v>
      </c>
      <c r="D51">
        <f>(D53*'Financial Statements'!C27)+'Financial Statements'!C62</f>
        <v>2924792537.7223997</v>
      </c>
      <c r="E51">
        <f>(E53*'Financial Statements'!D27)+'Financial Statements'!D62</f>
        <v>2256863450.2881999</v>
      </c>
    </row>
    <row r="53" spans="1:5" x14ac:dyDescent="0.2">
      <c r="B53" s="1" t="s">
        <v>153</v>
      </c>
      <c r="C53">
        <v>128.87119999999999</v>
      </c>
      <c r="D53">
        <v>175.10669999999999</v>
      </c>
      <c r="E53">
        <v>130.0478</v>
      </c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35C8D-B93A-7C47-AD15-1E512579F69F}">
  <dimension ref="A1:D8"/>
  <sheetViews>
    <sheetView workbookViewId="0">
      <selection activeCell="B2" sqref="B2"/>
    </sheetView>
  </sheetViews>
  <sheetFormatPr baseColWidth="10" defaultRowHeight="15" x14ac:dyDescent="0.2"/>
  <cols>
    <col min="1" max="1" width="29.33203125" bestFit="1" customWidth="1"/>
  </cols>
  <sheetData>
    <row r="1" spans="1:4" x14ac:dyDescent="0.2">
      <c r="B1">
        <v>2022</v>
      </c>
      <c r="C1">
        <v>2021</v>
      </c>
      <c r="D1">
        <v>2020</v>
      </c>
    </row>
    <row r="2" spans="1:4" x14ac:dyDescent="0.2">
      <c r="A2" s="1" t="s">
        <v>94</v>
      </c>
      <c r="B2" s="23">
        <f>'Financial Statements'!B113/'Financial Statements'!B22</f>
        <v>0.19611634920793963</v>
      </c>
      <c r="C2" s="23">
        <f>'Financial Statements'!C113/'Financial Statements'!C22</f>
        <v>0.26811364596535697</v>
      </c>
      <c r="D2" s="23">
        <f>'Financial Statements'!D113/'Financial Statements'!D22</f>
        <v>0.16549093379317553</v>
      </c>
    </row>
    <row r="3" spans="1:4" x14ac:dyDescent="0.2">
      <c r="A3" s="1" t="s">
        <v>95</v>
      </c>
      <c r="B3" s="23">
        <f>B8/'Financial Statements'!B76</f>
        <v>0.13808202158251756</v>
      </c>
      <c r="C3" s="23">
        <f>C8/'Financial Statements'!C76</f>
        <v>0.14742289818335447</v>
      </c>
    </row>
    <row r="4" spans="1:4" x14ac:dyDescent="0.2">
      <c r="A4" s="1" t="s">
        <v>96</v>
      </c>
      <c r="B4" s="23">
        <f>B8/'Financial Statements'!B45</f>
        <v>0.32720754089797471</v>
      </c>
      <c r="C4" s="23">
        <f>C8/'Financial Statements'!C45</f>
        <v>0.35390466531440162</v>
      </c>
    </row>
    <row r="8" spans="1:4" x14ac:dyDescent="0.2">
      <c r="A8" t="s">
        <v>152</v>
      </c>
      <c r="B8">
        <f>'Financial Statements'!B45-'Financial Statements'!C45+'Financial Statements'!B79</f>
        <v>13781</v>
      </c>
      <c r="C8">
        <f>'Financial Statements'!C45-'Financial Statements'!D45+'Financial Statements'!C79</f>
        <v>13958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Final Task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Maxwell Hackett</cp:lastModifiedBy>
  <dcterms:created xsi:type="dcterms:W3CDTF">2020-05-18T16:32:37Z</dcterms:created>
  <dcterms:modified xsi:type="dcterms:W3CDTF">2024-06-20T07:15:39Z</dcterms:modified>
</cp:coreProperties>
</file>