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xhackett/Desktop/Quill Capital/"/>
    </mc:Choice>
  </mc:AlternateContent>
  <xr:revisionPtr revIDLastSave="0" documentId="13_ncr:1_{DF64C182-4ECD-4C44-85E0-68BCE3543825}" xr6:coauthVersionLast="47" xr6:coauthVersionMax="47" xr10:uidLastSave="{00000000-0000-0000-0000-000000000000}"/>
  <bookViews>
    <workbookView xWindow="11280" yWindow="500" windowWidth="17520" windowHeight="17500" activeTab="2" xr2:uid="{00000000-000D-0000-FFFF-FFFF00000000}"/>
  </bookViews>
  <sheets>
    <sheet name="Instructions" sheetId="1" r:id="rId1"/>
    <sheet name="Financial Statements" sheetId="2" r:id="rId2"/>
    <sheet name="List of Ratio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1" i="3" l="1"/>
  <c r="D47" i="3"/>
  <c r="E47" i="3"/>
  <c r="D48" i="3"/>
  <c r="E48" i="3"/>
  <c r="D49" i="3"/>
  <c r="E49" i="3"/>
  <c r="C49" i="3"/>
  <c r="C48" i="3"/>
  <c r="C47" i="3"/>
  <c r="H5" i="3" l="1"/>
  <c r="H6" i="3"/>
  <c r="H7" i="3"/>
  <c r="H8" i="3"/>
  <c r="H9" i="3"/>
  <c r="H10" i="3"/>
  <c r="H11" i="3"/>
  <c r="H12" i="3"/>
  <c r="H13" i="3"/>
  <c r="H14" i="3"/>
  <c r="H17" i="3"/>
  <c r="H18" i="3"/>
  <c r="H19" i="3"/>
  <c r="H20" i="3"/>
  <c r="H21" i="3"/>
  <c r="H22" i="3"/>
  <c r="H25" i="3"/>
  <c r="H26" i="3"/>
  <c r="H27" i="3"/>
  <c r="H28" i="3"/>
  <c r="H29" i="3"/>
  <c r="H30" i="3"/>
  <c r="H31" i="3"/>
  <c r="H34" i="3"/>
  <c r="H35" i="3"/>
  <c r="H36" i="3"/>
  <c r="H37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G6" i="3"/>
  <c r="G7" i="3"/>
  <c r="G8" i="3"/>
  <c r="G9" i="3"/>
  <c r="G10" i="3"/>
  <c r="G11" i="3"/>
  <c r="G12" i="3"/>
  <c r="G13" i="3"/>
  <c r="G14" i="3"/>
  <c r="G17" i="3"/>
  <c r="G18" i="3"/>
  <c r="G19" i="3"/>
  <c r="G20" i="3"/>
  <c r="G21" i="3"/>
  <c r="G22" i="3"/>
  <c r="G25" i="3"/>
  <c r="G26" i="3"/>
  <c r="G27" i="3"/>
  <c r="G28" i="3"/>
  <c r="G29" i="3"/>
  <c r="G30" i="3"/>
  <c r="G31" i="3"/>
  <c r="G34" i="3"/>
  <c r="G35" i="3"/>
  <c r="G36" i="3"/>
  <c r="G37" i="3"/>
  <c r="G39" i="3"/>
  <c r="G40" i="3"/>
  <c r="G41" i="3"/>
  <c r="G42" i="3"/>
  <c r="G43" i="3"/>
  <c r="G44" i="3"/>
  <c r="G45" i="3"/>
  <c r="G46" i="3"/>
  <c r="G47" i="3"/>
  <c r="G48" i="3"/>
  <c r="G49" i="3"/>
  <c r="G50" i="3"/>
  <c r="G5" i="3"/>
  <c r="E5" i="3"/>
  <c r="E6" i="3"/>
  <c r="E7" i="3"/>
  <c r="E8" i="3"/>
  <c r="E9" i="3"/>
  <c r="E10" i="3"/>
  <c r="E11" i="3"/>
  <c r="E12" i="3"/>
  <c r="E13" i="3"/>
  <c r="E14" i="3"/>
  <c r="D62" i="2"/>
  <c r="D61" i="2"/>
  <c r="D50" i="2"/>
  <c r="D44" i="2"/>
  <c r="D39" i="2"/>
  <c r="C41" i="3"/>
  <c r="D25" i="3"/>
  <c r="E25" i="3"/>
  <c r="D26" i="3"/>
  <c r="D27" i="3"/>
  <c r="E27" i="3"/>
  <c r="D29" i="3"/>
  <c r="E29" i="3"/>
  <c r="E31" i="3"/>
  <c r="D34" i="3"/>
  <c r="D35" i="3"/>
  <c r="D36" i="3"/>
  <c r="D37" i="3"/>
  <c r="C37" i="3"/>
  <c r="C36" i="3"/>
  <c r="C35" i="3"/>
  <c r="C34" i="3"/>
  <c r="C29" i="3"/>
  <c r="C27" i="3"/>
  <c r="C26" i="3"/>
  <c r="C25" i="3"/>
  <c r="D17" i="3"/>
  <c r="D19" i="3"/>
  <c r="D18" i="3" s="1"/>
  <c r="E19" i="3"/>
  <c r="D20" i="3"/>
  <c r="D21" i="3"/>
  <c r="D28" i="3" s="1"/>
  <c r="E21" i="3"/>
  <c r="D22" i="3"/>
  <c r="C22" i="3"/>
  <c r="C21" i="3"/>
  <c r="C28" i="3" s="1"/>
  <c r="C19" i="3"/>
  <c r="C18" i="3" s="1"/>
  <c r="D5" i="3"/>
  <c r="D6" i="3"/>
  <c r="D7" i="3"/>
  <c r="D8" i="3"/>
  <c r="D9" i="3"/>
  <c r="D10" i="3"/>
  <c r="D11" i="3"/>
  <c r="D14" i="3"/>
  <c r="D13" i="3" s="1"/>
  <c r="C17" i="3"/>
  <c r="C14" i="3"/>
  <c r="C31" i="3" s="1"/>
  <c r="C11" i="3"/>
  <c r="C12" i="3" s="1"/>
  <c r="C10" i="3"/>
  <c r="C9" i="3"/>
  <c r="C8" i="3"/>
  <c r="C7" i="3"/>
  <c r="C6" i="3"/>
  <c r="C5" i="3"/>
  <c r="E37" i="3" l="1"/>
  <c r="E26" i="3"/>
  <c r="D12" i="3"/>
  <c r="C20" i="3"/>
  <c r="C13" i="3"/>
  <c r="D31" i="3"/>
  <c r="E28" i="3"/>
  <c r="B104" i="2"/>
  <c r="C104" i="2"/>
  <c r="D104" i="2"/>
  <c r="C89" i="2"/>
  <c r="D89" i="2"/>
  <c r="B89" i="2"/>
  <c r="D97" i="2"/>
  <c r="C97" i="2"/>
  <c r="B97" i="2"/>
  <c r="D7" i="2"/>
  <c r="E35" i="3" l="1"/>
  <c r="E17" i="3"/>
  <c r="E34" i="3"/>
  <c r="E36" i="3"/>
  <c r="E22" i="3"/>
  <c r="E18" i="3"/>
  <c r="E20" i="3"/>
  <c r="B106" i="2"/>
  <c r="B107" i="2" s="1"/>
  <c r="C106" i="2"/>
  <c r="C107" i="2" s="1"/>
  <c r="D106" i="2"/>
  <c r="D107" i="2" s="1"/>
  <c r="A47" i="3"/>
  <c r="A49" i="3" s="1"/>
  <c r="A16" i="3"/>
  <c r="A24" i="3" s="1"/>
  <c r="A5" i="3"/>
  <c r="A6" i="3" s="1"/>
  <c r="A7" i="3" s="1"/>
  <c r="A8" i="3" s="1"/>
  <c r="A9" i="3" s="1"/>
  <c r="A10" i="3" s="1"/>
  <c r="A11" i="3" s="1"/>
  <c r="A12" i="3" s="1"/>
  <c r="A13" i="3" s="1"/>
  <c r="A33" i="3" l="1"/>
  <c r="A25" i="3"/>
  <c r="A26" i="3" s="1"/>
  <c r="A27" i="3" s="1"/>
  <c r="A28" i="3" s="1"/>
  <c r="A29" i="3" s="1"/>
  <c r="A30" i="3" s="1"/>
  <c r="A17" i="3"/>
  <c r="A18" i="3" s="1"/>
  <c r="A20" i="3" s="1"/>
  <c r="A22" i="3" s="1"/>
  <c r="A34" i="3" l="1"/>
  <c r="A35" i="3" s="1"/>
  <c r="A36" i="3" s="1"/>
  <c r="A37" i="3" s="1"/>
  <c r="A39" i="3"/>
  <c r="A40" i="3" s="1"/>
  <c r="A41" i="3" s="1"/>
  <c r="A42" i="3" s="1"/>
  <c r="A43" i="3" s="1"/>
  <c r="A44" i="3" s="1"/>
  <c r="A46" i="3" s="1"/>
  <c r="A48" i="3" s="1"/>
  <c r="A50" i="3" s="1"/>
</calcChain>
</file>

<file path=xl/sharedStrings.xml><?xml version="1.0" encoding="utf-8"?>
<sst xmlns="http://schemas.openxmlformats.org/spreadsheetml/2006/main" count="160" uniqueCount="154">
  <si>
    <t>Instructions</t>
  </si>
  <si>
    <t>https://ir.aboutamazon.com/annual-reports-proxies-and-shareholder-letters/default.aspx</t>
  </si>
  <si>
    <t>You are required write up a 1-2 page report commenting on the financial health of Amazon Inc. based on the ratios you have calculated, addressing the five key topics mentioned in the ratios tab.</t>
  </si>
  <si>
    <t>Formats:</t>
  </si>
  <si>
    <t>However make sure you have covered the five key topics in the ratio analysis</t>
  </si>
  <si>
    <t>Please refer to the below website in order to download the company financial statements:</t>
  </si>
  <si>
    <t>You are free to use any additional publicly available information/ news articles whilst mentioning the sources at the end page</t>
  </si>
  <si>
    <t>The report should be submitted as a word document</t>
  </si>
  <si>
    <t>The supporting calculations should be submitted in excel document as same as the previous task.</t>
  </si>
  <si>
    <t>(In millions, except number of shares which are reflected in thousands and per share amounts)</t>
  </si>
  <si>
    <t>CONSOLIDATED STATEMENTS OF OPERATIONS</t>
  </si>
  <si>
    <t>Gross margin</t>
  </si>
  <si>
    <t>CONSOLIDATED BALANCE SHEETS</t>
  </si>
  <si>
    <t>CONSOLIDATED STATEMENTS OF CASH FLOWS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</si>
  <si>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</si>
  <si>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</si>
  <si>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</si>
  <si>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</si>
  <si>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</si>
  <si>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</si>
  <si>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</si>
  <si>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</si>
  <si>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</si>
  <si>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</si>
  <si>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</si>
  <si>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</si>
  <si>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</si>
  <si>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</si>
  <si>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</si>
  <si>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</si>
  <si>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</si>
  <si>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</si>
  <si>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</si>
  <si>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</si>
  <si>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</si>
  <si>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</si>
  <si>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</si>
  <si>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</si>
  <si>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</si>
  <si>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</si>
  <si>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</si>
  <si>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</si>
  <si>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</si>
  <si>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</si>
  <si>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</si>
  <si>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</si>
  <si>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</si>
  <si>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</si>
  <si>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</si>
  <si>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</si>
  <si>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</si>
  <si>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</si>
  <si>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</si>
  <si>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</si>
  <si>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</si>
  <si>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</si>
  <si>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Company name</t>
  </si>
  <si>
    <t xml:space="preserve">Years ended </t>
  </si>
  <si>
    <t xml:space="preserve">As at </t>
  </si>
  <si>
    <t>Company Name</t>
  </si>
  <si>
    <t>Years ended ,</t>
  </si>
  <si>
    <t>Please input the three financial statements in the format from previous task, attached here in the second tab</t>
  </si>
  <si>
    <t>Perform the calculations on tab three similar to previous task.</t>
  </si>
  <si>
    <t>Perform a management report, analyzing the financial health of Amazon Inc. based on its recent two annual reports (2022 &amp; 2021).</t>
  </si>
  <si>
    <t>Net product sales</t>
  </si>
  <si>
    <t>Net service sales</t>
  </si>
  <si>
    <t>Total net sales Operating expenses:</t>
  </si>
  <si>
    <t>Cost of sales</t>
  </si>
  <si>
    <t>Fulfillment</t>
  </si>
  <si>
    <t>Technology and content</t>
  </si>
  <si>
    <t>Marketing</t>
  </si>
  <si>
    <t>General and administrative</t>
  </si>
  <si>
    <t>Other operating expense (income), net</t>
  </si>
  <si>
    <t>Total operating expenses</t>
  </si>
  <si>
    <t>Operating income</t>
  </si>
  <si>
    <t>Interest income</t>
  </si>
  <si>
    <t>Interest expense</t>
  </si>
  <si>
    <t>Other income (expense), net</t>
  </si>
  <si>
    <t>Total non-operating income (expense)</t>
  </si>
  <si>
    <t>Income before income taxes</t>
  </si>
  <si>
    <t>Provision for income taxes</t>
  </si>
  <si>
    <t>Equity-method investment activity, net of tax</t>
  </si>
  <si>
    <t>Net income</t>
  </si>
  <si>
    <t>Basic earnings per share</t>
  </si>
  <si>
    <t>Diluted earnings per share</t>
  </si>
  <si>
    <t>Weighted-average shares used in computation of earnings per share: Basic</t>
  </si>
  <si>
    <t>Diluted</t>
  </si>
  <si>
    <t>Marketable securities</t>
  </si>
  <si>
    <t>Inventories</t>
  </si>
  <si>
    <t>Accounts receivable, net and other</t>
  </si>
  <si>
    <t>Total current assets</t>
  </si>
  <si>
    <t>Property and equipment, net</t>
  </si>
  <si>
    <t>Operating leases</t>
  </si>
  <si>
    <t>Goodwill</t>
  </si>
  <si>
    <t>Other assets</t>
  </si>
  <si>
    <t>Total assets</t>
  </si>
  <si>
    <t>Current liabilities:</t>
  </si>
  <si>
    <t>Accounts payable</t>
  </si>
  <si>
    <t>Accrued expenses and Other</t>
  </si>
  <si>
    <t>Unearned revenue</t>
  </si>
  <si>
    <t>Total current liabilities</t>
  </si>
  <si>
    <t>Long-tern lease liabilities</t>
  </si>
  <si>
    <t>Long-term debt</t>
  </si>
  <si>
    <t>Issued and outstanding shares Common stock, $0.01 par value: Authorized shares — 5,000 Issued shares — 514 and 521</t>
  </si>
  <si>
    <t>Outstanding shares — 491 and 498</t>
  </si>
  <si>
    <t>Treasury stock, at cost</t>
  </si>
  <si>
    <t>Additional paid-in capital</t>
  </si>
  <si>
    <t>Accumulated other comprehensive income (loss)</t>
  </si>
  <si>
    <t>Retained earnings</t>
  </si>
  <si>
    <t>Total stockholders' equity</t>
  </si>
  <si>
    <t>Total liabilities and stockholders' equity</t>
  </si>
  <si>
    <t xml:space="preserve">Current assets: </t>
  </si>
  <si>
    <t>Cash and cash equivalents</t>
  </si>
  <si>
    <t>Other long-term liabilities</t>
  </si>
  <si>
    <t xml:space="preserve"> Commitments and contingencies (Note 7) Stockholders' equity: Preferred stock, $0.01 par value: Authorized shares — 500</t>
  </si>
  <si>
    <t>CASH, CASH EQUIVALENTS, AND RESTRICTED CASH, BEGINNING OF PERIOD</t>
  </si>
  <si>
    <t>OPERATING ACTIVITIES:</t>
  </si>
  <si>
    <t>Net Income</t>
  </si>
  <si>
    <t>Adjustments to reconcile net income to net cash from operating activities:</t>
  </si>
  <si>
    <t>Depreciation and amortization of property and equipment andcapitalized content costs, operating leases, and other</t>
  </si>
  <si>
    <t>Stock-based compensation</t>
  </si>
  <si>
    <t>Other expense (income), net</t>
  </si>
  <si>
    <t>Deferred income taxes</t>
  </si>
  <si>
    <t>Changes in operating assets and liabilities:</t>
  </si>
  <si>
    <t>Accounts Payable</t>
  </si>
  <si>
    <t>Accrued expenses and other</t>
  </si>
  <si>
    <t>Net cash provided by (used in) operating activities</t>
  </si>
  <si>
    <t>INVESTING ACTIVITIES:</t>
  </si>
  <si>
    <t>Purchases of property and equipment</t>
  </si>
  <si>
    <t>Proceeds from property and equipment sales and incentives</t>
  </si>
  <si>
    <t>Acquisitions, net of cash acquired, and other</t>
  </si>
  <si>
    <t>Sales and maturities of marketable securities</t>
  </si>
  <si>
    <t>Net cash provided by (used in) investing activities</t>
  </si>
  <si>
    <t>Purchases of marketable securities</t>
  </si>
  <si>
    <t>FINANCING ACTIVITIES:</t>
  </si>
  <si>
    <t>Proceeds from long-term debt and other</t>
  </si>
  <si>
    <t>Repayments of long-term debt and other</t>
  </si>
  <si>
    <t>Principal repayments of finance leases</t>
  </si>
  <si>
    <t>Principal repayments of financing obligations</t>
  </si>
  <si>
    <t>Net cash provided by (used in) financing activities</t>
  </si>
  <si>
    <t>Foreign currency effect on cash, cash equivalents, and restricted cash</t>
  </si>
  <si>
    <t>Net increase (decrease) in cash, cash equivalents, and restricted cash</t>
  </si>
  <si>
    <t>CASH, CASH EQUIVALENTS, AND RESTRICTED CASH, END OF PERIOD</t>
  </si>
  <si>
    <t>SUPPLEMENTAL CASH FLOW INFORMATION:</t>
  </si>
  <si>
    <t>Cash paid for interest on long-term debt</t>
  </si>
  <si>
    <t>Cash paid for operating leases</t>
  </si>
  <si>
    <t>Cash paid for inerest of finance leases</t>
  </si>
  <si>
    <t>Cash paid fro interest on financing obligations</t>
  </si>
  <si>
    <t>Cash paid for income taxces, net of refunds</t>
  </si>
  <si>
    <t>Assets acquired under operating leases</t>
  </si>
  <si>
    <t>Property and equipment acquired under finance leases</t>
  </si>
  <si>
    <t>Property and equipment acquired under build-to-suit arrangements</t>
  </si>
  <si>
    <t>Growth Ratios</t>
  </si>
  <si>
    <t>Share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</si>
</sst>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_(&quot;$&quot;* #,##0_);_(&quot;$&quot;* \(#,##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2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horizontal="left" indent="1"/>
    </xf>
    <xf numFmtId="0" fontId="0" fillId="0" borderId="0" xfId="0" applyAlignment="1">
      <alignment wrapText="1"/>
    </xf>
    <xf numFmtId="0" fontId="4" fillId="2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0" fillId="0" borderId="0" xfId="0" applyAlignment="1">
      <alignment horizontal="left" wrapText="1" indent="1"/>
    </xf>
    <xf numFmtId="0" fontId="5" fillId="0" borderId="0" xfId="2" applyAlignment="1">
      <alignment horizontal="left" wrapText="1" indent="1"/>
    </xf>
    <xf numFmtId="0" fontId="6" fillId="2" borderId="0" xfId="0" applyFont="1" applyFill="1" applyAlignment="1">
      <alignment vertical="center"/>
    </xf>
    <xf numFmtId="0" fontId="3" fillId="2" borderId="0" xfId="0" applyFont="1" applyFill="1"/>
    <xf numFmtId="0" fontId="2" fillId="0" borderId="0" xfId="0" applyFont="1"/>
    <xf numFmtId="164" fontId="0" fillId="0" borderId="0" xfId="1" applyNumberFormat="1" applyFont="1"/>
    <xf numFmtId="0" fontId="2" fillId="0" borderId="1" xfId="0" applyFont="1" applyBorder="1"/>
    <xf numFmtId="164" fontId="2" fillId="0" borderId="1" xfId="1" applyNumberFormat="1" applyFont="1" applyBorder="1"/>
    <xf numFmtId="0" fontId="2" fillId="0" borderId="2" xfId="0" applyFont="1" applyBorder="1"/>
    <xf numFmtId="164" fontId="2" fillId="0" borderId="2" xfId="1" applyNumberFormat="1" applyFont="1" applyBorder="1"/>
    <xf numFmtId="0" fontId="0" fillId="4" borderId="0" xfId="0" applyFill="1"/>
    <xf numFmtId="3" fontId="0" fillId="0" borderId="0" xfId="0" applyNumberFormat="1"/>
    <xf numFmtId="164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7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165" fontId="0" fillId="0" borderId="0" xfId="0" applyNumberFormat="1"/>
    <xf numFmtId="0" fontId="2" fillId="0" borderId="0" xfId="0" applyFont="1" applyAlignment="1">
      <alignment horizontal="left"/>
    </xf>
    <xf numFmtId="166" fontId="0" fillId="0" borderId="0" xfId="3" applyNumberFormat="1" applyFont="1"/>
    <xf numFmtId="166" fontId="2" fillId="0" borderId="2" xfId="3" applyNumberFormat="1" applyFont="1" applyBorder="1"/>
    <xf numFmtId="0" fontId="2" fillId="0" borderId="3" xfId="0" applyFont="1" applyBorder="1"/>
    <xf numFmtId="166" fontId="2" fillId="0" borderId="3" xfId="3" applyNumberFormat="1" applyFont="1" applyBorder="1"/>
    <xf numFmtId="166" fontId="1" fillId="0" borderId="0" xfId="3" applyNumberFormat="1" applyFont="1" applyBorder="1"/>
    <xf numFmtId="166" fontId="0" fillId="0" borderId="0" xfId="3" applyNumberFormat="1" applyFont="1" applyBorder="1"/>
    <xf numFmtId="0" fontId="2" fillId="0" borderId="4" xfId="0" applyFont="1" applyBorder="1" applyAlignment="1">
      <alignment horizontal="left" indent="1"/>
    </xf>
    <xf numFmtId="164" fontId="2" fillId="0" borderId="4" xfId="1" applyNumberFormat="1" applyFont="1" applyBorder="1"/>
    <xf numFmtId="10" fontId="0" fillId="0" borderId="0" xfId="4" applyNumberFormat="1" applyFont="1"/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0" fillId="0" borderId="0" xfId="0" applyAlignment="1">
      <alignment horizontal="center"/>
    </xf>
  </cellXfs>
  <cellStyles count="5">
    <cellStyle name="Comma" xfId="1" builtinId="3"/>
    <cellStyle name="Currency" xfId="3" builtinId="4"/>
    <cellStyle name="Hyperlink" xfId="2" builtinId="8"/>
    <cellStyle name="Normal" xfId="0" builtinId="0"/>
    <cellStyle name="Per 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ir.aboutamazon.com/annual-reports-proxies-and-shareholder-letters/default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5"/>
  <sheetViews>
    <sheetView workbookViewId="0">
      <selection activeCell="A25" sqref="A25"/>
    </sheetView>
  </sheetViews>
  <sheetFormatPr baseColWidth="10" defaultColWidth="8.83203125" defaultRowHeight="15" x14ac:dyDescent="0.2"/>
  <cols>
    <col min="1" max="1" width="157.83203125" style="2" customWidth="1"/>
  </cols>
  <sheetData>
    <row r="1" spans="1:1" ht="25" x14ac:dyDescent="0.3">
      <c r="A1" s="3" t="s">
        <v>0</v>
      </c>
    </row>
    <row r="3" spans="1:1" ht="16" x14ac:dyDescent="0.2">
      <c r="A3" s="2" t="s">
        <v>63</v>
      </c>
    </row>
    <row r="4" spans="1:1" ht="16" x14ac:dyDescent="0.2">
      <c r="A4" s="5" t="s">
        <v>5</v>
      </c>
    </row>
    <row r="5" spans="1:1" ht="16" x14ac:dyDescent="0.2">
      <c r="A5" s="6" t="s">
        <v>1</v>
      </c>
    </row>
    <row r="7" spans="1:1" ht="16" x14ac:dyDescent="0.2">
      <c r="A7" s="2" t="s">
        <v>61</v>
      </c>
    </row>
    <row r="8" spans="1:1" ht="16" x14ac:dyDescent="0.2">
      <c r="A8" s="2" t="s">
        <v>62</v>
      </c>
    </row>
    <row r="9" spans="1:1" ht="16" x14ac:dyDescent="0.2">
      <c r="A9" s="2" t="s">
        <v>2</v>
      </c>
    </row>
    <row r="10" spans="1:1" ht="16" x14ac:dyDescent="0.2">
      <c r="A10" s="2" t="s">
        <v>6</v>
      </c>
    </row>
    <row r="11" spans="1:1" ht="16" x14ac:dyDescent="0.2">
      <c r="A11" s="2" t="s">
        <v>4</v>
      </c>
    </row>
    <row r="13" spans="1:1" ht="16" x14ac:dyDescent="0.2">
      <c r="A13" s="4" t="s">
        <v>3</v>
      </c>
    </row>
    <row r="14" spans="1:1" ht="16" x14ac:dyDescent="0.2">
      <c r="A14" s="2" t="s">
        <v>7</v>
      </c>
    </row>
    <row r="15" spans="1:1" ht="16" x14ac:dyDescent="0.2">
      <c r="A15" s="2" t="s">
        <v>8</v>
      </c>
    </row>
  </sheetData>
  <hyperlinks>
    <hyperlink ref="A5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18"/>
  <sheetViews>
    <sheetView topLeftCell="A23" workbookViewId="0">
      <selection activeCell="D63" sqref="D63"/>
    </sheetView>
  </sheetViews>
  <sheetFormatPr baseColWidth="10" defaultColWidth="8.83203125" defaultRowHeight="15" x14ac:dyDescent="0.2"/>
  <cols>
    <col min="1" max="1" width="59" customWidth="1"/>
    <col min="2" max="4" width="12.1640625" bestFit="1" customWidth="1"/>
    <col min="8" max="8" width="11.1640625" customWidth="1"/>
    <col min="9" max="9" width="2.1640625" bestFit="1" customWidth="1"/>
    <col min="10" max="10" width="6.5" customWidth="1"/>
    <col min="11" max="11" width="13.6640625" customWidth="1"/>
    <col min="12" max="13" width="7.6640625" bestFit="1" customWidth="1"/>
    <col min="14" max="14" width="11.6640625" bestFit="1" customWidth="1"/>
    <col min="15" max="15" width="7.6640625" bestFit="1" customWidth="1"/>
  </cols>
  <sheetData>
    <row r="1" spans="1:14" ht="60" customHeight="1" x14ac:dyDescent="0.2">
      <c r="A1" s="7" t="s">
        <v>56</v>
      </c>
      <c r="B1" s="8" t="s">
        <v>9</v>
      </c>
      <c r="C1" s="8"/>
      <c r="D1" s="8"/>
      <c r="E1" s="8"/>
      <c r="F1" s="8"/>
      <c r="G1" s="8"/>
      <c r="H1" s="8"/>
      <c r="I1" s="8"/>
      <c r="J1" s="8"/>
    </row>
    <row r="2" spans="1:14" x14ac:dyDescent="0.2">
      <c r="A2" s="34" t="s">
        <v>10</v>
      </c>
      <c r="B2" s="34"/>
      <c r="C2" s="34"/>
      <c r="D2" s="34"/>
    </row>
    <row r="3" spans="1:14" x14ac:dyDescent="0.2">
      <c r="B3" s="33" t="s">
        <v>57</v>
      </c>
      <c r="C3" s="33"/>
      <c r="D3" s="33"/>
    </row>
    <row r="4" spans="1:14" x14ac:dyDescent="0.2">
      <c r="B4" s="9">
        <v>2019</v>
      </c>
      <c r="C4" s="9">
        <v>2018</v>
      </c>
      <c r="D4" s="9">
        <v>2017</v>
      </c>
    </row>
    <row r="5" spans="1:14" x14ac:dyDescent="0.2">
      <c r="A5" t="s">
        <v>64</v>
      </c>
      <c r="B5" s="24">
        <v>160408</v>
      </c>
      <c r="C5" s="24">
        <v>141915</v>
      </c>
      <c r="D5" s="24">
        <v>118573</v>
      </c>
    </row>
    <row r="6" spans="1:14" x14ac:dyDescent="0.2">
      <c r="A6" t="s">
        <v>65</v>
      </c>
      <c r="B6" s="24">
        <v>120114</v>
      </c>
      <c r="C6" s="24">
        <v>90972</v>
      </c>
      <c r="D6" s="24">
        <v>59293</v>
      </c>
    </row>
    <row r="7" spans="1:14" x14ac:dyDescent="0.2">
      <c r="A7" s="26" t="s">
        <v>66</v>
      </c>
      <c r="B7" s="27">
        <v>280522</v>
      </c>
      <c r="C7" s="27">
        <v>232887</v>
      </c>
      <c r="D7" s="27">
        <f>SUM(D5:D6)</f>
        <v>177866</v>
      </c>
      <c r="J7" s="16"/>
      <c r="L7" s="16"/>
      <c r="N7" s="16"/>
    </row>
    <row r="8" spans="1:14" x14ac:dyDescent="0.2">
      <c r="A8" t="s">
        <v>67</v>
      </c>
      <c r="B8" s="24">
        <v>165536</v>
      </c>
      <c r="C8" s="24">
        <v>139156</v>
      </c>
      <c r="D8" s="24">
        <v>111934</v>
      </c>
      <c r="J8" s="16"/>
      <c r="L8" s="16"/>
      <c r="N8" s="16"/>
    </row>
    <row r="9" spans="1:14" x14ac:dyDescent="0.2">
      <c r="A9" t="s">
        <v>68</v>
      </c>
      <c r="B9" s="24">
        <v>40232</v>
      </c>
      <c r="C9" s="24">
        <v>34027</v>
      </c>
      <c r="D9" s="24">
        <v>25249</v>
      </c>
      <c r="J9" s="16"/>
      <c r="L9" s="16"/>
      <c r="N9" s="16"/>
    </row>
    <row r="10" spans="1:14" x14ac:dyDescent="0.2">
      <c r="A10" s="1" t="s">
        <v>69</v>
      </c>
      <c r="B10" s="24">
        <v>35931</v>
      </c>
      <c r="C10" s="24">
        <v>28837</v>
      </c>
      <c r="D10" s="24">
        <v>22620</v>
      </c>
      <c r="J10" s="16"/>
      <c r="L10" s="16"/>
      <c r="N10" s="16"/>
    </row>
    <row r="11" spans="1:14" x14ac:dyDescent="0.2">
      <c r="A11" s="1" t="s">
        <v>70</v>
      </c>
      <c r="B11" s="24">
        <v>18878</v>
      </c>
      <c r="C11" s="24">
        <v>13814</v>
      </c>
      <c r="D11" s="24">
        <v>10069</v>
      </c>
      <c r="J11" s="16"/>
      <c r="L11" s="16"/>
      <c r="N11" s="16"/>
    </row>
    <row r="12" spans="1:14" x14ac:dyDescent="0.2">
      <c r="A12" s="1" t="s">
        <v>71</v>
      </c>
      <c r="B12" s="29">
        <v>5203</v>
      </c>
      <c r="C12" s="29">
        <v>4336</v>
      </c>
      <c r="D12" s="29">
        <v>3674</v>
      </c>
      <c r="J12" s="16"/>
      <c r="L12" s="16"/>
      <c r="N12" s="16"/>
    </row>
    <row r="13" spans="1:14" x14ac:dyDescent="0.2">
      <c r="A13" t="s">
        <v>72</v>
      </c>
      <c r="B13" s="28">
        <v>201</v>
      </c>
      <c r="C13" s="28">
        <v>296</v>
      </c>
      <c r="D13" s="28">
        <v>214</v>
      </c>
      <c r="J13" s="16"/>
      <c r="L13" s="16"/>
      <c r="N13" s="16"/>
    </row>
    <row r="14" spans="1:14" x14ac:dyDescent="0.2">
      <c r="A14" s="26" t="s">
        <v>73</v>
      </c>
      <c r="B14" s="27">
        <v>265981</v>
      </c>
      <c r="C14" s="27">
        <v>220466</v>
      </c>
      <c r="D14" s="27">
        <v>173760</v>
      </c>
      <c r="J14" s="16"/>
      <c r="L14" s="16"/>
      <c r="N14" s="16"/>
    </row>
    <row r="15" spans="1:14" x14ac:dyDescent="0.2">
      <c r="A15" s="1" t="s">
        <v>74</v>
      </c>
      <c r="B15" s="24">
        <v>14541</v>
      </c>
      <c r="C15" s="24">
        <v>12421</v>
      </c>
      <c r="D15" s="24">
        <v>4106</v>
      </c>
    </row>
    <row r="16" spans="1:14" x14ac:dyDescent="0.2">
      <c r="A16" s="1" t="s">
        <v>75</v>
      </c>
      <c r="B16" s="24">
        <v>832</v>
      </c>
      <c r="C16" s="24">
        <v>440</v>
      </c>
      <c r="D16" s="24">
        <v>202</v>
      </c>
      <c r="J16" s="16"/>
      <c r="L16" s="16"/>
      <c r="N16" s="16"/>
    </row>
    <row r="17" spans="1:14" x14ac:dyDescent="0.2">
      <c r="A17" s="1" t="s">
        <v>76</v>
      </c>
      <c r="B17" s="24">
        <v>-1600</v>
      </c>
      <c r="C17" s="24">
        <v>-1417</v>
      </c>
      <c r="D17" s="24">
        <v>-848</v>
      </c>
      <c r="J17" s="16"/>
      <c r="L17" s="16"/>
      <c r="N17" s="16"/>
    </row>
    <row r="18" spans="1:14" s="11" customFormat="1" x14ac:dyDescent="0.2">
      <c r="A18" s="1" t="s">
        <v>77</v>
      </c>
      <c r="B18" s="24">
        <v>203</v>
      </c>
      <c r="C18" s="24">
        <v>-183</v>
      </c>
      <c r="D18" s="24">
        <v>346</v>
      </c>
    </row>
    <row r="19" spans="1:14" x14ac:dyDescent="0.2">
      <c r="A19" s="26" t="s">
        <v>78</v>
      </c>
      <c r="B19" s="27">
        <v>-565</v>
      </c>
      <c r="C19" s="27">
        <v>-1160</v>
      </c>
      <c r="D19" s="27">
        <v>-300</v>
      </c>
      <c r="L19" s="16"/>
      <c r="N19" s="16"/>
    </row>
    <row r="20" spans="1:14" x14ac:dyDescent="0.2">
      <c r="A20" s="1" t="s">
        <v>79</v>
      </c>
      <c r="B20" s="24">
        <v>13976</v>
      </c>
      <c r="C20" s="24">
        <v>11261</v>
      </c>
      <c r="D20" s="24">
        <v>3806</v>
      </c>
    </row>
    <row r="21" spans="1:14" x14ac:dyDescent="0.2">
      <c r="A21" s="1" t="s">
        <v>80</v>
      </c>
      <c r="B21" s="24">
        <v>-2374</v>
      </c>
      <c r="C21" s="24">
        <v>-1197</v>
      </c>
      <c r="D21" s="24">
        <v>-769</v>
      </c>
      <c r="L21" s="16"/>
    </row>
    <row r="22" spans="1:14" x14ac:dyDescent="0.2">
      <c r="A22" s="1" t="s">
        <v>81</v>
      </c>
      <c r="B22" s="24">
        <v>-14</v>
      </c>
      <c r="C22" s="24">
        <v>9</v>
      </c>
      <c r="D22" s="24">
        <v>-4</v>
      </c>
      <c r="J22" s="16"/>
      <c r="L22" s="16"/>
      <c r="N22" s="16"/>
    </row>
    <row r="23" spans="1:14" ht="16" thickBot="1" x14ac:dyDescent="0.25">
      <c r="A23" s="13" t="s">
        <v>82</v>
      </c>
      <c r="B23" s="25">
        <v>11588</v>
      </c>
      <c r="C23" s="25">
        <v>10073</v>
      </c>
      <c r="D23" s="25">
        <v>3033</v>
      </c>
      <c r="L23" s="16"/>
      <c r="N23" s="16"/>
    </row>
    <row r="24" spans="1:14" ht="16" thickTop="1" x14ac:dyDescent="0.2">
      <c r="A24" s="1" t="s">
        <v>83</v>
      </c>
      <c r="B24" s="15">
        <v>23.46</v>
      </c>
      <c r="C24" s="15">
        <v>20.68</v>
      </c>
      <c r="D24" s="15">
        <v>6.32</v>
      </c>
    </row>
    <row r="25" spans="1:14" x14ac:dyDescent="0.2">
      <c r="A25" s="1" t="s">
        <v>84</v>
      </c>
      <c r="B25" s="15">
        <v>23.01</v>
      </c>
      <c r="C25" s="15">
        <v>20.14</v>
      </c>
      <c r="D25" s="15">
        <v>6.15</v>
      </c>
      <c r="J25" s="16"/>
      <c r="L25" s="16"/>
      <c r="N25" s="16"/>
    </row>
    <row r="26" spans="1:14" x14ac:dyDescent="0.2">
      <c r="A26" t="s">
        <v>85</v>
      </c>
      <c r="B26">
        <v>494</v>
      </c>
      <c r="C26">
        <v>487</v>
      </c>
      <c r="D26">
        <v>480</v>
      </c>
    </row>
    <row r="27" spans="1:14" x14ac:dyDescent="0.2">
      <c r="A27" s="1" t="s">
        <v>86</v>
      </c>
      <c r="B27" s="16">
        <v>504</v>
      </c>
      <c r="C27" s="16">
        <v>500</v>
      </c>
      <c r="D27" s="16">
        <v>493</v>
      </c>
    </row>
    <row r="28" spans="1:14" x14ac:dyDescent="0.2">
      <c r="A28" s="1"/>
      <c r="B28" s="16"/>
      <c r="C28" s="16"/>
      <c r="D28" s="16"/>
    </row>
    <row r="31" spans="1:14" x14ac:dyDescent="0.2">
      <c r="A31" s="34" t="s">
        <v>12</v>
      </c>
      <c r="B31" s="34"/>
      <c r="C31" s="34"/>
      <c r="D31" s="34"/>
    </row>
    <row r="32" spans="1:14" x14ac:dyDescent="0.2">
      <c r="B32" s="33" t="s">
        <v>58</v>
      </c>
      <c r="C32" s="33"/>
      <c r="D32" s="33"/>
    </row>
    <row r="33" spans="1:15" x14ac:dyDescent="0.2">
      <c r="B33" s="9">
        <v>2019</v>
      </c>
      <c r="C33" s="9">
        <v>2018</v>
      </c>
      <c r="D33" s="9">
        <v>2017</v>
      </c>
    </row>
    <row r="34" spans="1:15" x14ac:dyDescent="0.2">
      <c r="A34" t="s">
        <v>111</v>
      </c>
    </row>
    <row r="35" spans="1:15" x14ac:dyDescent="0.2">
      <c r="A35" t="s">
        <v>112</v>
      </c>
      <c r="B35" s="16">
        <v>36092</v>
      </c>
      <c r="C35" s="16">
        <v>31750</v>
      </c>
      <c r="D35">
        <v>20522</v>
      </c>
    </row>
    <row r="36" spans="1:15" x14ac:dyDescent="0.2">
      <c r="A36" t="s">
        <v>87</v>
      </c>
      <c r="B36" s="16">
        <v>18929</v>
      </c>
      <c r="C36" s="16">
        <v>9500</v>
      </c>
      <c r="D36" s="10">
        <v>10464</v>
      </c>
    </row>
    <row r="37" spans="1:15" x14ac:dyDescent="0.2">
      <c r="A37" t="s">
        <v>88</v>
      </c>
      <c r="B37" s="16">
        <v>20497</v>
      </c>
      <c r="C37" s="16">
        <v>17174</v>
      </c>
      <c r="D37" s="10">
        <v>16047</v>
      </c>
    </row>
    <row r="38" spans="1:15" x14ac:dyDescent="0.2">
      <c r="A38" t="s">
        <v>89</v>
      </c>
      <c r="B38" s="16">
        <v>20816</v>
      </c>
      <c r="C38" s="16">
        <v>16677</v>
      </c>
      <c r="D38" s="10">
        <v>13164</v>
      </c>
      <c r="M38" s="16"/>
      <c r="O38" s="16"/>
    </row>
    <row r="39" spans="1:15" x14ac:dyDescent="0.2">
      <c r="A39" t="s">
        <v>90</v>
      </c>
      <c r="B39" s="16">
        <v>96334</v>
      </c>
      <c r="C39" s="16">
        <v>75101</v>
      </c>
      <c r="D39" s="10">
        <f>SUM(D35:D38)</f>
        <v>60197</v>
      </c>
      <c r="M39" s="16"/>
      <c r="O39" s="16"/>
    </row>
    <row r="40" spans="1:15" x14ac:dyDescent="0.2">
      <c r="A40" t="s">
        <v>91</v>
      </c>
      <c r="B40" s="16">
        <v>72705</v>
      </c>
      <c r="C40" s="16">
        <v>61797</v>
      </c>
      <c r="D40" s="10">
        <v>48866</v>
      </c>
      <c r="M40" s="16"/>
      <c r="O40" s="16"/>
    </row>
    <row r="41" spans="1:15" x14ac:dyDescent="0.2">
      <c r="A41" t="s">
        <v>92</v>
      </c>
      <c r="B41" s="16">
        <v>25141</v>
      </c>
      <c r="D41" s="10"/>
      <c r="M41" s="16"/>
      <c r="O41" s="16"/>
    </row>
    <row r="42" spans="1:15" x14ac:dyDescent="0.2">
      <c r="A42" t="s">
        <v>93</v>
      </c>
      <c r="B42" s="16">
        <v>14754</v>
      </c>
      <c r="C42" s="16">
        <v>14548</v>
      </c>
      <c r="D42" s="10">
        <v>13350</v>
      </c>
      <c r="M42" s="16"/>
      <c r="O42" s="16"/>
    </row>
    <row r="43" spans="1:15" x14ac:dyDescent="0.2">
      <c r="A43" t="s">
        <v>94</v>
      </c>
      <c r="B43" s="16">
        <v>16314</v>
      </c>
      <c r="C43" s="16">
        <v>11202</v>
      </c>
      <c r="D43" s="10">
        <v>8897</v>
      </c>
      <c r="M43" s="16"/>
      <c r="O43" s="16"/>
    </row>
    <row r="44" spans="1:15" x14ac:dyDescent="0.2">
      <c r="A44" t="s">
        <v>95</v>
      </c>
      <c r="B44" s="16">
        <v>225248</v>
      </c>
      <c r="C44" s="16">
        <v>162648</v>
      </c>
      <c r="D44" s="10">
        <f>SUM(D40:D43,D39)</f>
        <v>131310</v>
      </c>
      <c r="O44" s="16"/>
    </row>
    <row r="45" spans="1:15" x14ac:dyDescent="0.2">
      <c r="A45" s="1"/>
      <c r="B45" s="10"/>
      <c r="C45" s="10"/>
      <c r="D45" s="10"/>
      <c r="M45" s="16"/>
      <c r="O45" s="16"/>
    </row>
    <row r="46" spans="1:15" x14ac:dyDescent="0.2">
      <c r="A46" t="s">
        <v>96</v>
      </c>
      <c r="C46" s="10"/>
      <c r="D46" s="10"/>
      <c r="M46" s="16"/>
      <c r="O46" s="16"/>
    </row>
    <row r="47" spans="1:15" x14ac:dyDescent="0.2">
      <c r="A47" t="s">
        <v>97</v>
      </c>
      <c r="B47" s="16">
        <v>47183</v>
      </c>
      <c r="C47" s="16">
        <v>38192</v>
      </c>
      <c r="D47" s="10">
        <v>34616</v>
      </c>
      <c r="M47" s="16"/>
      <c r="O47" s="16"/>
    </row>
    <row r="48" spans="1:15" x14ac:dyDescent="0.2">
      <c r="A48" t="s">
        <v>98</v>
      </c>
      <c r="B48" s="16">
        <v>32439</v>
      </c>
      <c r="C48" s="16">
        <v>23663</v>
      </c>
      <c r="D48" s="10">
        <v>18170</v>
      </c>
    </row>
    <row r="49" spans="1:15" x14ac:dyDescent="0.2">
      <c r="A49" t="s">
        <v>99</v>
      </c>
      <c r="B49" s="16">
        <v>8190</v>
      </c>
      <c r="C49" s="16">
        <v>6536</v>
      </c>
      <c r="D49" s="10">
        <v>5097</v>
      </c>
    </row>
    <row r="50" spans="1:15" x14ac:dyDescent="0.2">
      <c r="A50" t="s">
        <v>100</v>
      </c>
      <c r="B50" s="16">
        <v>87812</v>
      </c>
      <c r="C50" s="16">
        <v>68391</v>
      </c>
      <c r="D50" s="10">
        <f>SUM(D47:D49)</f>
        <v>57883</v>
      </c>
      <c r="M50" s="16"/>
      <c r="O50" s="16"/>
    </row>
    <row r="51" spans="1:15" x14ac:dyDescent="0.2">
      <c r="A51" t="s">
        <v>101</v>
      </c>
      <c r="B51" s="16">
        <v>39791</v>
      </c>
      <c r="C51" s="16">
        <v>9650</v>
      </c>
      <c r="D51" s="10"/>
      <c r="M51" s="16"/>
      <c r="O51" s="16"/>
    </row>
    <row r="52" spans="1:15" x14ac:dyDescent="0.2">
      <c r="A52" t="s">
        <v>102</v>
      </c>
      <c r="B52" s="16">
        <v>23414</v>
      </c>
      <c r="C52" s="16">
        <v>23495</v>
      </c>
      <c r="D52" s="10">
        <v>24743</v>
      </c>
      <c r="M52" s="16"/>
      <c r="O52" s="16"/>
    </row>
    <row r="53" spans="1:15" x14ac:dyDescent="0.2">
      <c r="A53" t="s">
        <v>113</v>
      </c>
      <c r="B53" s="16">
        <v>12171</v>
      </c>
      <c r="C53" s="16">
        <v>17563</v>
      </c>
      <c r="D53" s="10">
        <v>20975</v>
      </c>
      <c r="M53" s="16"/>
      <c r="O53" s="16"/>
    </row>
    <row r="54" spans="1:15" x14ac:dyDescent="0.2">
      <c r="A54" t="s">
        <v>114</v>
      </c>
      <c r="B54" s="10"/>
      <c r="C54" s="10"/>
      <c r="D54" s="10"/>
      <c r="M54" s="16"/>
      <c r="O54" s="16"/>
    </row>
    <row r="55" spans="1:15" x14ac:dyDescent="0.2">
      <c r="A55" t="s">
        <v>103</v>
      </c>
      <c r="B55" s="10"/>
      <c r="C55" s="10"/>
      <c r="D55" s="10"/>
      <c r="M55" s="16"/>
      <c r="O55" s="16"/>
    </row>
    <row r="56" spans="1:15" x14ac:dyDescent="0.2">
      <c r="A56" t="s">
        <v>104</v>
      </c>
      <c r="B56">
        <v>5</v>
      </c>
      <c r="C56">
        <v>5</v>
      </c>
      <c r="D56" s="10">
        <v>5</v>
      </c>
      <c r="M56" s="16"/>
      <c r="O56" s="16"/>
    </row>
    <row r="57" spans="1:15" x14ac:dyDescent="0.2">
      <c r="A57" t="s">
        <v>105</v>
      </c>
      <c r="B57" s="16">
        <v>-1837</v>
      </c>
      <c r="C57" s="16">
        <v>-1837</v>
      </c>
      <c r="D57" s="10">
        <v>-1837</v>
      </c>
    </row>
    <row r="58" spans="1:15" x14ac:dyDescent="0.2">
      <c r="A58" t="s">
        <v>106</v>
      </c>
      <c r="B58" s="16">
        <v>33658</v>
      </c>
      <c r="C58" s="16">
        <v>26791</v>
      </c>
      <c r="D58" s="10">
        <v>21389</v>
      </c>
    </row>
    <row r="59" spans="1:15" x14ac:dyDescent="0.2">
      <c r="A59" t="s">
        <v>107</v>
      </c>
      <c r="B59">
        <v>-986</v>
      </c>
      <c r="C59" s="16">
        <v>-1035</v>
      </c>
      <c r="D59" s="10">
        <v>-484</v>
      </c>
    </row>
    <row r="60" spans="1:15" x14ac:dyDescent="0.2">
      <c r="A60" t="s">
        <v>108</v>
      </c>
      <c r="B60" s="16">
        <v>31220</v>
      </c>
      <c r="C60" s="16">
        <v>19625</v>
      </c>
      <c r="D60" s="10">
        <v>8636</v>
      </c>
      <c r="M60" s="16"/>
      <c r="O60" s="16"/>
    </row>
    <row r="61" spans="1:15" x14ac:dyDescent="0.2">
      <c r="A61" t="s">
        <v>109</v>
      </c>
      <c r="B61" s="16">
        <v>62060</v>
      </c>
      <c r="C61" s="16">
        <v>43549</v>
      </c>
      <c r="D61" s="10">
        <f>SUM(D56:D60)</f>
        <v>27709</v>
      </c>
      <c r="M61" s="16"/>
      <c r="O61" s="16"/>
    </row>
    <row r="62" spans="1:15" x14ac:dyDescent="0.2">
      <c r="A62" t="s">
        <v>110</v>
      </c>
      <c r="B62" s="16">
        <v>225248</v>
      </c>
      <c r="C62" s="16">
        <v>162648</v>
      </c>
      <c r="D62" s="10">
        <f>SUM(D61+D50+D52+D53)</f>
        <v>131310</v>
      </c>
      <c r="M62" s="16"/>
    </row>
    <row r="63" spans="1:15" x14ac:dyDescent="0.2">
      <c r="A63" s="1"/>
      <c r="B63" s="10"/>
      <c r="C63" s="10"/>
      <c r="D63" s="10"/>
      <c r="M63" s="16"/>
      <c r="O63" s="16"/>
    </row>
    <row r="64" spans="1:15" x14ac:dyDescent="0.2">
      <c r="A64" s="1"/>
      <c r="B64" s="10"/>
      <c r="C64" s="10"/>
      <c r="D64" s="10"/>
      <c r="M64" s="16"/>
      <c r="O64" s="16"/>
    </row>
    <row r="65" spans="1:15" x14ac:dyDescent="0.2">
      <c r="A65" s="1"/>
      <c r="B65" s="10"/>
      <c r="C65" s="10"/>
      <c r="D65" s="10"/>
      <c r="M65" s="16"/>
      <c r="O65" s="16"/>
    </row>
    <row r="66" spans="1:15" x14ac:dyDescent="0.2">
      <c r="A66" s="1"/>
      <c r="B66" s="10"/>
      <c r="C66" s="10"/>
      <c r="D66" s="10"/>
    </row>
    <row r="67" spans="1:15" x14ac:dyDescent="0.2">
      <c r="A67" s="1"/>
      <c r="B67" s="10"/>
      <c r="C67" s="10"/>
      <c r="D67" s="10"/>
    </row>
    <row r="68" spans="1:15" x14ac:dyDescent="0.2">
      <c r="A68" s="1"/>
      <c r="B68" s="10"/>
      <c r="C68" s="10"/>
      <c r="D68" s="10"/>
    </row>
    <row r="69" spans="1:15" x14ac:dyDescent="0.2">
      <c r="A69" s="1"/>
      <c r="B69" s="10"/>
      <c r="C69" s="10"/>
      <c r="D69" s="10"/>
    </row>
    <row r="70" spans="1:15" x14ac:dyDescent="0.2">
      <c r="A70" s="1"/>
      <c r="B70" s="10"/>
      <c r="C70" s="10"/>
      <c r="D70" s="10"/>
    </row>
    <row r="71" spans="1:15" x14ac:dyDescent="0.2">
      <c r="A71" s="34" t="s">
        <v>13</v>
      </c>
      <c r="B71" s="34"/>
      <c r="C71" s="34"/>
      <c r="D71" s="34"/>
    </row>
    <row r="72" spans="1:15" x14ac:dyDescent="0.2">
      <c r="B72" s="33" t="s">
        <v>57</v>
      </c>
      <c r="C72" s="33"/>
      <c r="D72" s="33"/>
    </row>
    <row r="73" spans="1:15" x14ac:dyDescent="0.2">
      <c r="B73" s="9">
        <v>2019</v>
      </c>
      <c r="C73" s="9">
        <v>2018</v>
      </c>
      <c r="D73" s="9">
        <v>2017</v>
      </c>
    </row>
    <row r="74" spans="1:15" x14ac:dyDescent="0.2">
      <c r="A74" s="9" t="s">
        <v>115</v>
      </c>
      <c r="B74" s="16">
        <v>32173</v>
      </c>
      <c r="C74" s="16">
        <v>21856</v>
      </c>
      <c r="D74" s="16">
        <v>19934</v>
      </c>
    </row>
    <row r="75" spans="1:15" x14ac:dyDescent="0.2">
      <c r="A75" t="s">
        <v>116</v>
      </c>
      <c r="B75" s="17"/>
      <c r="C75" s="17"/>
      <c r="D75" s="17"/>
    </row>
    <row r="76" spans="1:15" x14ac:dyDescent="0.2">
      <c r="A76" t="s">
        <v>117</v>
      </c>
      <c r="B76" s="10">
        <v>11588</v>
      </c>
      <c r="C76" s="10">
        <v>10073</v>
      </c>
      <c r="D76" s="10">
        <v>3033</v>
      </c>
    </row>
    <row r="77" spans="1:15" x14ac:dyDescent="0.2">
      <c r="A77" s="18" t="s">
        <v>118</v>
      </c>
      <c r="B77" s="17"/>
      <c r="C77" s="17"/>
      <c r="D77" s="17"/>
    </row>
    <row r="78" spans="1:15" x14ac:dyDescent="0.2">
      <c r="A78" s="1" t="s">
        <v>119</v>
      </c>
      <c r="B78" s="10">
        <v>21789</v>
      </c>
      <c r="C78" s="10">
        <v>15341</v>
      </c>
      <c r="D78" s="10">
        <v>11478</v>
      </c>
    </row>
    <row r="79" spans="1:15" x14ac:dyDescent="0.2">
      <c r="A79" s="19" t="s">
        <v>120</v>
      </c>
      <c r="B79" s="10">
        <v>6864</v>
      </c>
      <c r="C79" s="10">
        <v>5418</v>
      </c>
      <c r="D79" s="10">
        <v>4215</v>
      </c>
    </row>
    <row r="80" spans="1:15" x14ac:dyDescent="0.2">
      <c r="A80" s="19" t="s">
        <v>72</v>
      </c>
      <c r="B80" s="10">
        <v>164</v>
      </c>
      <c r="C80" s="10">
        <v>274</v>
      </c>
      <c r="D80" s="10">
        <v>202</v>
      </c>
    </row>
    <row r="81" spans="1:4" x14ac:dyDescent="0.2">
      <c r="A81" s="19" t="s">
        <v>121</v>
      </c>
      <c r="B81" s="10">
        <v>-249</v>
      </c>
      <c r="C81" s="10">
        <v>219</v>
      </c>
      <c r="D81" s="10">
        <v>-292</v>
      </c>
    </row>
    <row r="82" spans="1:4" x14ac:dyDescent="0.2">
      <c r="A82" s="19" t="s">
        <v>122</v>
      </c>
      <c r="B82" s="10">
        <v>796</v>
      </c>
      <c r="C82" s="10">
        <v>441</v>
      </c>
      <c r="D82" s="10">
        <v>-29</v>
      </c>
    </row>
    <row r="83" spans="1:4" x14ac:dyDescent="0.2">
      <c r="A83" s="18" t="s">
        <v>123</v>
      </c>
      <c r="B83" s="10"/>
      <c r="C83" s="10"/>
      <c r="D83" s="10"/>
    </row>
    <row r="84" spans="1:4" x14ac:dyDescent="0.2">
      <c r="A84" s="1" t="s">
        <v>88</v>
      </c>
      <c r="B84" s="10">
        <v>-3278</v>
      </c>
      <c r="C84" s="10">
        <v>-1314</v>
      </c>
      <c r="D84" s="10">
        <v>-3583</v>
      </c>
    </row>
    <row r="85" spans="1:4" x14ac:dyDescent="0.2">
      <c r="A85" s="1" t="s">
        <v>89</v>
      </c>
      <c r="B85" s="10">
        <v>-7681</v>
      </c>
      <c r="C85" s="10">
        <v>-4615</v>
      </c>
      <c r="D85" s="10">
        <v>-4780</v>
      </c>
    </row>
    <row r="86" spans="1:4" x14ac:dyDescent="0.2">
      <c r="A86" s="1" t="s">
        <v>124</v>
      </c>
      <c r="B86" s="10">
        <v>8193</v>
      </c>
      <c r="C86" s="10">
        <v>3263</v>
      </c>
      <c r="D86" s="10">
        <v>7100</v>
      </c>
    </row>
    <row r="87" spans="1:4" x14ac:dyDescent="0.2">
      <c r="A87" s="1" t="s">
        <v>125</v>
      </c>
      <c r="B87" s="10">
        <v>-1383</v>
      </c>
      <c r="C87" s="10">
        <v>472</v>
      </c>
      <c r="D87" s="10">
        <v>283</v>
      </c>
    </row>
    <row r="88" spans="1:4" x14ac:dyDescent="0.2">
      <c r="A88" s="1" t="s">
        <v>99</v>
      </c>
      <c r="B88" s="10">
        <v>1711</v>
      </c>
      <c r="C88" s="10">
        <v>1151</v>
      </c>
      <c r="D88" s="10">
        <v>738</v>
      </c>
    </row>
    <row r="89" spans="1:4" ht="16" thickBot="1" x14ac:dyDescent="0.25">
      <c r="A89" s="30" t="s">
        <v>126</v>
      </c>
      <c r="B89" s="31">
        <f>B76+(SUM(B78:B88))</f>
        <v>38514</v>
      </c>
      <c r="C89" s="31">
        <f t="shared" ref="C89:D89" si="0">C76+(SUM(C78:C88))</f>
        <v>30723</v>
      </c>
      <c r="D89" s="31">
        <f t="shared" si="0"/>
        <v>18365</v>
      </c>
    </row>
    <row r="90" spans="1:4" x14ac:dyDescent="0.2">
      <c r="A90" s="1"/>
      <c r="B90" s="10"/>
      <c r="C90" s="10"/>
      <c r="D90" s="10"/>
    </row>
    <row r="91" spans="1:4" x14ac:dyDescent="0.2">
      <c r="A91" s="11" t="s">
        <v>127</v>
      </c>
      <c r="B91" s="12"/>
      <c r="C91" s="12"/>
      <c r="D91" s="12"/>
    </row>
    <row r="92" spans="1:4" x14ac:dyDescent="0.2">
      <c r="A92" s="1" t="s">
        <v>128</v>
      </c>
      <c r="B92" s="10">
        <v>-16861</v>
      </c>
      <c r="C92" s="10">
        <v>-13427</v>
      </c>
      <c r="D92" s="10">
        <v>-11955</v>
      </c>
    </row>
    <row r="93" spans="1:4" x14ac:dyDescent="0.2">
      <c r="A93" s="1" t="s">
        <v>129</v>
      </c>
      <c r="B93" s="10">
        <v>4172</v>
      </c>
      <c r="C93" s="10">
        <v>2104</v>
      </c>
      <c r="D93" s="10">
        <v>1897</v>
      </c>
    </row>
    <row r="94" spans="1:4" x14ac:dyDescent="0.2">
      <c r="A94" s="1" t="s">
        <v>130</v>
      </c>
      <c r="B94" s="10">
        <v>-2461</v>
      </c>
      <c r="C94" s="10">
        <v>-2186</v>
      </c>
      <c r="D94" s="10">
        <v>-13972</v>
      </c>
    </row>
    <row r="95" spans="1:4" x14ac:dyDescent="0.2">
      <c r="A95" s="1" t="s">
        <v>131</v>
      </c>
      <c r="B95" s="10">
        <v>22681</v>
      </c>
      <c r="C95" s="10">
        <v>8240</v>
      </c>
      <c r="D95" s="10">
        <v>9677</v>
      </c>
    </row>
    <row r="96" spans="1:4" x14ac:dyDescent="0.2">
      <c r="A96" s="1" t="s">
        <v>133</v>
      </c>
      <c r="B96" s="10">
        <v>-31812</v>
      </c>
      <c r="C96" s="10">
        <v>-7100</v>
      </c>
      <c r="D96" s="10">
        <v>-12731</v>
      </c>
    </row>
    <row r="97" spans="1:4" ht="16" thickBot="1" x14ac:dyDescent="0.25">
      <c r="A97" s="30" t="s">
        <v>132</v>
      </c>
      <c r="B97" s="31">
        <f>SUM(B92:B96)</f>
        <v>-24281</v>
      </c>
      <c r="C97" s="31">
        <f>SUM(C92:C96)</f>
        <v>-12369</v>
      </c>
      <c r="D97" s="31">
        <f>SUM(D92:D96)</f>
        <v>-27084</v>
      </c>
    </row>
    <row r="98" spans="1:4" x14ac:dyDescent="0.2">
      <c r="A98" s="1"/>
      <c r="B98" s="10"/>
      <c r="C98" s="10"/>
      <c r="D98" s="10"/>
    </row>
    <row r="99" spans="1:4" x14ac:dyDescent="0.2">
      <c r="A99" s="11" t="s">
        <v>134</v>
      </c>
      <c r="B99" s="12"/>
      <c r="C99" s="12"/>
      <c r="D99" s="12"/>
    </row>
    <row r="100" spans="1:4" x14ac:dyDescent="0.2">
      <c r="A100" s="1" t="s">
        <v>135</v>
      </c>
      <c r="B100" s="10">
        <v>2273</v>
      </c>
      <c r="C100" s="10">
        <v>768</v>
      </c>
      <c r="D100" s="10">
        <v>16228</v>
      </c>
    </row>
    <row r="101" spans="1:4" x14ac:dyDescent="0.2">
      <c r="A101" s="1" t="s">
        <v>136</v>
      </c>
      <c r="B101" s="10">
        <v>-2684</v>
      </c>
      <c r="C101" s="10">
        <v>-668</v>
      </c>
      <c r="D101" s="10">
        <v>-1301</v>
      </c>
    </row>
    <row r="102" spans="1:4" x14ac:dyDescent="0.2">
      <c r="A102" s="1" t="s">
        <v>137</v>
      </c>
      <c r="B102" s="10">
        <v>-9628</v>
      </c>
      <c r="C102" s="10">
        <v>-7449</v>
      </c>
      <c r="D102" s="10">
        <v>-4799</v>
      </c>
    </row>
    <row r="103" spans="1:4" x14ac:dyDescent="0.2">
      <c r="A103" s="1" t="s">
        <v>138</v>
      </c>
      <c r="B103" s="10">
        <v>-27</v>
      </c>
      <c r="C103" s="10">
        <v>-337</v>
      </c>
      <c r="D103" s="10">
        <v>-200</v>
      </c>
    </row>
    <row r="104" spans="1:4" x14ac:dyDescent="0.2">
      <c r="A104" s="11" t="s">
        <v>139</v>
      </c>
      <c r="B104" s="12">
        <f>SUM(B100:B103)</f>
        <v>-10066</v>
      </c>
      <c r="C104" s="12">
        <f>SUM(C100:C103)</f>
        <v>-7686</v>
      </c>
      <c r="D104" s="12">
        <f>SUM(D100:D103)</f>
        <v>9928</v>
      </c>
    </row>
    <row r="105" spans="1:4" x14ac:dyDescent="0.2">
      <c r="A105" s="11" t="s">
        <v>140</v>
      </c>
      <c r="B105" s="12">
        <v>70</v>
      </c>
      <c r="C105" s="12">
        <v>-351</v>
      </c>
      <c r="D105" s="12">
        <v>713</v>
      </c>
    </row>
    <row r="106" spans="1:4" ht="16" thickBot="1" x14ac:dyDescent="0.25">
      <c r="A106" s="13" t="s">
        <v>141</v>
      </c>
      <c r="B106" s="14">
        <f>B89+B97+B104+B105</f>
        <v>4237</v>
      </c>
      <c r="C106" s="14">
        <f>C89+C97+C104+C105</f>
        <v>10317</v>
      </c>
      <c r="D106" s="14">
        <f>D89+D97+D104+D105</f>
        <v>1922</v>
      </c>
    </row>
    <row r="107" spans="1:4" ht="16" thickTop="1" x14ac:dyDescent="0.2">
      <c r="A107" s="11" t="s">
        <v>142</v>
      </c>
      <c r="B107" s="12">
        <f>B74+B106</f>
        <v>36410</v>
      </c>
      <c r="C107" s="12">
        <f>C74+C106</f>
        <v>32173</v>
      </c>
      <c r="D107" s="12">
        <f>D74+D106</f>
        <v>21856</v>
      </c>
    </row>
    <row r="108" spans="1:4" x14ac:dyDescent="0.2">
      <c r="A108" s="1"/>
      <c r="B108" s="10"/>
      <c r="C108" s="10"/>
      <c r="D108" s="10"/>
    </row>
    <row r="110" spans="1:4" x14ac:dyDescent="0.2">
      <c r="A110" t="s">
        <v>143</v>
      </c>
      <c r="B110" s="10"/>
      <c r="C110" s="10"/>
      <c r="D110" s="10"/>
    </row>
    <row r="111" spans="1:4" x14ac:dyDescent="0.2">
      <c r="A111" t="s">
        <v>144</v>
      </c>
      <c r="B111" s="10">
        <v>875</v>
      </c>
      <c r="C111" s="10">
        <v>854</v>
      </c>
      <c r="D111" s="10">
        <v>328</v>
      </c>
    </row>
    <row r="112" spans="1:4" x14ac:dyDescent="0.2">
      <c r="A112" t="s">
        <v>145</v>
      </c>
      <c r="B112" s="10">
        <v>3361</v>
      </c>
      <c r="C112" s="10"/>
      <c r="D112" s="10"/>
    </row>
    <row r="113" spans="1:4" x14ac:dyDescent="0.2">
      <c r="A113" t="s">
        <v>146</v>
      </c>
      <c r="B113" s="10">
        <v>647</v>
      </c>
      <c r="C113" s="10">
        <v>381</v>
      </c>
      <c r="D113" s="10">
        <v>200</v>
      </c>
    </row>
    <row r="114" spans="1:4" x14ac:dyDescent="0.2">
      <c r="A114" t="s">
        <v>147</v>
      </c>
      <c r="B114" s="10">
        <v>39</v>
      </c>
      <c r="C114" s="10">
        <v>194</v>
      </c>
      <c r="D114" s="10">
        <v>119</v>
      </c>
    </row>
    <row r="115" spans="1:4" x14ac:dyDescent="0.2">
      <c r="A115" t="s">
        <v>148</v>
      </c>
      <c r="B115" s="10">
        <v>881</v>
      </c>
      <c r="C115" s="10">
        <v>1184</v>
      </c>
      <c r="D115" s="10">
        <v>957</v>
      </c>
    </row>
    <row r="116" spans="1:4" x14ac:dyDescent="0.2">
      <c r="A116" t="s">
        <v>149</v>
      </c>
      <c r="B116" s="10">
        <v>7870</v>
      </c>
      <c r="C116" s="10"/>
      <c r="D116" s="10"/>
    </row>
    <row r="117" spans="1:4" x14ac:dyDescent="0.2">
      <c r="A117" t="s">
        <v>150</v>
      </c>
      <c r="B117" s="10">
        <v>13723</v>
      </c>
      <c r="C117" s="10">
        <v>10615</v>
      </c>
      <c r="D117" s="10">
        <v>9637</v>
      </c>
    </row>
    <row r="118" spans="1:4" x14ac:dyDescent="0.2">
      <c r="A118" t="s">
        <v>151</v>
      </c>
      <c r="B118" s="10">
        <v>1362</v>
      </c>
      <c r="C118" s="10">
        <v>3641</v>
      </c>
      <c r="D118" s="10">
        <v>3541</v>
      </c>
    </row>
  </sheetData>
  <mergeCells count="6">
    <mergeCell ref="B72:D72"/>
    <mergeCell ref="A2:D2"/>
    <mergeCell ref="B3:D3"/>
    <mergeCell ref="A31:D31"/>
    <mergeCell ref="B32:D32"/>
    <mergeCell ref="A71:D7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53"/>
  <sheetViews>
    <sheetView tabSelected="1" topLeftCell="A19" workbookViewId="0">
      <selection activeCell="C51" sqref="C51"/>
    </sheetView>
  </sheetViews>
  <sheetFormatPr baseColWidth="10" defaultColWidth="8.83203125" defaultRowHeight="15" x14ac:dyDescent="0.2"/>
  <cols>
    <col min="1" max="1" width="4.6640625" customWidth="1"/>
    <col min="2" max="2" width="44.83203125" customWidth="1"/>
  </cols>
  <sheetData>
    <row r="1" spans="1:10" ht="60" customHeight="1" x14ac:dyDescent="0.3">
      <c r="A1" s="7"/>
      <c r="B1" s="20" t="s">
        <v>59</v>
      </c>
      <c r="C1" s="21"/>
      <c r="D1" s="21"/>
      <c r="E1" s="21"/>
      <c r="F1" s="21"/>
      <c r="G1" s="21"/>
      <c r="H1" s="21"/>
      <c r="I1" s="21"/>
      <c r="J1" s="21"/>
    </row>
    <row r="2" spans="1:10" x14ac:dyDescent="0.2">
      <c r="C2" s="33" t="s">
        <v>60</v>
      </c>
      <c r="D2" s="33"/>
      <c r="E2" s="33"/>
      <c r="G2" s="33" t="s">
        <v>152</v>
      </c>
      <c r="H2" s="35"/>
      <c r="I2" s="35"/>
    </row>
    <row r="3" spans="1:10" x14ac:dyDescent="0.2">
      <c r="C3" s="9">
        <v>2019</v>
      </c>
      <c r="D3" s="9">
        <v>2018</v>
      </c>
      <c r="E3" s="9">
        <v>2017</v>
      </c>
      <c r="G3" s="9">
        <v>2019</v>
      </c>
      <c r="H3" s="9">
        <v>2018</v>
      </c>
      <c r="I3" s="9">
        <v>2017</v>
      </c>
    </row>
    <row r="4" spans="1:10" x14ac:dyDescent="0.2">
      <c r="A4" s="22">
        <v>1</v>
      </c>
      <c r="B4" s="9" t="s">
        <v>14</v>
      </c>
    </row>
    <row r="5" spans="1:10" x14ac:dyDescent="0.2">
      <c r="A5" s="22">
        <f>+A4+0.1</f>
        <v>1.1000000000000001</v>
      </c>
      <c r="B5" s="1" t="s">
        <v>15</v>
      </c>
      <c r="C5">
        <f>'Financial Statements'!B44/'Financial Statements'!B50</f>
        <v>2.5651163850043273</v>
      </c>
      <c r="D5">
        <f>'Financial Statements'!C44/'Financial Statements'!C50</f>
        <v>2.378207658902487</v>
      </c>
      <c r="E5">
        <f>'Financial Statements'!D44/'Financial Statements'!D50</f>
        <v>2.2685417134564552</v>
      </c>
      <c r="G5" s="32">
        <f>(C5-D5)/D5</f>
        <v>7.8592264810086562E-2</v>
      </c>
      <c r="H5" s="32">
        <f t="shared" ref="H5:H20" si="0">(D5-E5)/E5</f>
        <v>4.834204493376483E-2</v>
      </c>
    </row>
    <row r="6" spans="1:10" x14ac:dyDescent="0.2">
      <c r="A6" s="22">
        <f t="shared" ref="A6:A13" si="1">+A5+0.1</f>
        <v>1.2000000000000002</v>
      </c>
      <c r="B6" s="1" t="s">
        <v>16</v>
      </c>
      <c r="C6">
        <f>('Financial Statements'!B39-'Financial Statements'!B37)/'Financial Statements'!B50</f>
        <v>0.86362911674941922</v>
      </c>
      <c r="D6">
        <f>('Financial Statements'!C39-'Financial Statements'!C37)/'Financial Statements'!C50</f>
        <v>0.84699741194016753</v>
      </c>
      <c r="E6">
        <f>('Financial Statements'!D39-'Financial Statements'!D37)/'Financial Statements'!D50</f>
        <v>0.76274553841369663</v>
      </c>
      <c r="G6" s="32">
        <f t="shared" ref="G6:G50" si="2">(C6-D6)/D6</f>
        <v>1.963607512230104E-2</v>
      </c>
      <c r="H6" s="32">
        <f t="shared" si="0"/>
        <v>0.11045869072101279</v>
      </c>
    </row>
    <row r="7" spans="1:10" x14ac:dyDescent="0.2">
      <c r="A7" s="22">
        <f t="shared" si="1"/>
        <v>1.3000000000000003</v>
      </c>
      <c r="B7" s="1" t="s">
        <v>17</v>
      </c>
      <c r="C7">
        <f>'Financial Statements'!B35/'Financial Statements'!B50</f>
        <v>0.41101443993987152</v>
      </c>
      <c r="D7">
        <f>'Financial Statements'!C35/'Financial Statements'!C50</f>
        <v>0.46424237107221711</v>
      </c>
      <c r="E7">
        <f>'Financial Statements'!D35/'Financial Statements'!D50</f>
        <v>0.35454278458269267</v>
      </c>
      <c r="G7" s="32">
        <f t="shared" si="2"/>
        <v>-0.11465547836448022</v>
      </c>
      <c r="H7" s="32">
        <f t="shared" si="0"/>
        <v>0.30941142017216366</v>
      </c>
    </row>
    <row r="8" spans="1:10" x14ac:dyDescent="0.2">
      <c r="A8" s="22">
        <f t="shared" si="1"/>
        <v>1.4000000000000004</v>
      </c>
      <c r="B8" s="1" t="s">
        <v>18</v>
      </c>
      <c r="C8">
        <f>'Financial Statements'!B39/'Financial Statements'!B14</f>
        <v>0.3621837650057711</v>
      </c>
      <c r="D8">
        <f>'Financial Statements'!C39/'Financial Statements'!C14</f>
        <v>0.34064663031941433</v>
      </c>
      <c r="E8">
        <f>'Financial Statements'!D39/'Financial Statements'!D14</f>
        <v>0.34643761510128912</v>
      </c>
      <c r="G8" s="32">
        <f t="shared" si="2"/>
        <v>6.3224270459279239E-2</v>
      </c>
      <c r="H8" s="32">
        <f t="shared" si="0"/>
        <v>-1.6715808357535472E-2</v>
      </c>
    </row>
    <row r="9" spans="1:10" x14ac:dyDescent="0.2">
      <c r="A9" s="22">
        <f t="shared" si="1"/>
        <v>1.5000000000000004</v>
      </c>
      <c r="B9" s="1" t="s">
        <v>19</v>
      </c>
      <c r="C9">
        <f>(('Financial Statements'!B37-'Financial Statements'!C37)/2)/'Financial Statements'!B8</f>
        <v>1.0037091629615311E-2</v>
      </c>
      <c r="D9">
        <f>(('Financial Statements'!C37-'Financial Statements'!D37)/2)/'Financial Statements'!C8</f>
        <v>4.0494121705136679E-3</v>
      </c>
      <c r="E9">
        <f>(('Financial Statements'!D37-'Financial Statements'!E37)/2)/'Financial Statements'!D8</f>
        <v>7.1680633230296428E-2</v>
      </c>
      <c r="G9" s="32">
        <f t="shared" si="2"/>
        <v>1.4786539890164123</v>
      </c>
      <c r="H9" s="32">
        <f t="shared" si="0"/>
        <v>-0.94350758373599086</v>
      </c>
    </row>
    <row r="10" spans="1:10" x14ac:dyDescent="0.2">
      <c r="A10" s="22">
        <f t="shared" si="1"/>
        <v>1.6000000000000005</v>
      </c>
      <c r="B10" s="1" t="s">
        <v>20</v>
      </c>
      <c r="C10">
        <f>('Financial Statements'!B8/'Financial Statements'!B47)*365</f>
        <v>1280.5595235572134</v>
      </c>
      <c r="D10">
        <f>('Financial Statements'!C8/'Financial Statements'!C47)*365</f>
        <v>1329.910452450775</v>
      </c>
      <c r="E10">
        <f>('Financial Statements'!D8/'Financial Statements'!D47)*365</f>
        <v>1180.2608620291194</v>
      </c>
      <c r="G10" s="32">
        <f t="shared" si="2"/>
        <v>-3.7108460049033433E-2</v>
      </c>
      <c r="H10" s="32">
        <f t="shared" si="0"/>
        <v>0.12679365658569422</v>
      </c>
    </row>
    <row r="11" spans="1:10" x14ac:dyDescent="0.2">
      <c r="A11" s="22">
        <f t="shared" si="1"/>
        <v>1.7000000000000006</v>
      </c>
      <c r="B11" s="1" t="s">
        <v>21</v>
      </c>
      <c r="C11">
        <f>(('Financial Statements'!B38-'Financial Statements'!C38)/2)/'Financial Statements'!B88</f>
        <v>1.2095265926358854</v>
      </c>
      <c r="D11">
        <f>(('Financial Statements'!C38-'Financial Statements'!D38)/2)/'Financial Statements'!C88</f>
        <v>1.5260642919200695</v>
      </c>
      <c r="E11">
        <f>(('Financial Statements'!D38-'Financial Statements'!E38)/2)/'Financial Statements'!D88</f>
        <v>8.9186991869918693</v>
      </c>
      <c r="G11" s="32">
        <f t="shared" si="2"/>
        <v>-0.20742094612928891</v>
      </c>
      <c r="H11" s="32">
        <f t="shared" si="0"/>
        <v>-0.8288916062842584</v>
      </c>
    </row>
    <row r="12" spans="1:10" x14ac:dyDescent="0.2">
      <c r="A12" s="22">
        <f t="shared" si="1"/>
        <v>1.8000000000000007</v>
      </c>
      <c r="B12" s="1" t="s">
        <v>22</v>
      </c>
      <c r="C12">
        <f>SUM(C9:C11)</f>
        <v>1281.7790872414789</v>
      </c>
      <c r="D12">
        <f t="shared" ref="D12:E12" si="3">SUM(D9:D11)</f>
        <v>1331.4405661548656</v>
      </c>
      <c r="E12">
        <f t="shared" si="3"/>
        <v>1189.2512418493416</v>
      </c>
      <c r="G12" s="32">
        <f t="shared" si="2"/>
        <v>-3.7299058009631278E-2</v>
      </c>
      <c r="H12" s="32">
        <f t="shared" si="0"/>
        <v>0.11956205661338046</v>
      </c>
    </row>
    <row r="13" spans="1:10" x14ac:dyDescent="0.2">
      <c r="A13" s="22">
        <f t="shared" si="1"/>
        <v>1.9000000000000008</v>
      </c>
      <c r="B13" s="1" t="s">
        <v>23</v>
      </c>
      <c r="C13">
        <f>C14/'Financial Statements'!B8</f>
        <v>5.1481248791803595E-2</v>
      </c>
      <c r="D13">
        <f>D14/'Financial Statements'!C8</f>
        <v>4.8219264710109518E-2</v>
      </c>
      <c r="E13">
        <f>E14/'Financial Statements'!D8</f>
        <v>2.0672896528311325E-2</v>
      </c>
      <c r="G13" s="32">
        <f t="shared" si="2"/>
        <v>6.7648980159794495E-2</v>
      </c>
      <c r="H13" s="32">
        <f t="shared" si="0"/>
        <v>1.33248711152178</v>
      </c>
    </row>
    <row r="14" spans="1:10" x14ac:dyDescent="0.2">
      <c r="A14" s="22"/>
      <c r="B14" s="19" t="s">
        <v>24</v>
      </c>
      <c r="C14" s="16">
        <f>'Financial Statements'!B39-'Financial Statements'!B50</f>
        <v>8522</v>
      </c>
      <c r="D14" s="16">
        <f>'Financial Statements'!C39-'Financial Statements'!C50</f>
        <v>6710</v>
      </c>
      <c r="E14" s="16">
        <f>'Financial Statements'!D39-'Financial Statements'!D50</f>
        <v>2314</v>
      </c>
      <c r="G14" s="32">
        <f t="shared" si="2"/>
        <v>0.27004470938897168</v>
      </c>
      <c r="H14" s="32">
        <f t="shared" si="0"/>
        <v>1.8997407087294729</v>
      </c>
    </row>
    <row r="15" spans="1:10" x14ac:dyDescent="0.2">
      <c r="A15" s="22"/>
      <c r="G15" s="32"/>
      <c r="H15" s="32"/>
    </row>
    <row r="16" spans="1:10" x14ac:dyDescent="0.2">
      <c r="A16" s="22">
        <f>+A4+1</f>
        <v>2</v>
      </c>
      <c r="B16" s="23" t="s">
        <v>25</v>
      </c>
      <c r="G16" s="32"/>
      <c r="H16" s="32"/>
    </row>
    <row r="17" spans="1:8" x14ac:dyDescent="0.2">
      <c r="A17" s="22">
        <f>+A16+0.1</f>
        <v>2.1</v>
      </c>
      <c r="B17" s="1" t="s">
        <v>11</v>
      </c>
      <c r="C17">
        <f>('Financial Statements'!B7-'Financial Statements'!B8)/'Financial Statements'!B8</f>
        <v>0.69462835878600426</v>
      </c>
      <c r="D17">
        <f>('Financial Statements'!C7-'Financial Statements'!C8)/'Financial Statements'!C8</f>
        <v>0.6735677944177757</v>
      </c>
      <c r="E17">
        <f>('Financial Statements'!D7-'Financial Statements'!D8)/'Financial Statements'!D8</f>
        <v>0.58902567584469423</v>
      </c>
      <c r="G17" s="32">
        <f t="shared" si="2"/>
        <v>3.1267178363884027E-2</v>
      </c>
      <c r="H17" s="32">
        <f t="shared" si="0"/>
        <v>0.14352874932292817</v>
      </c>
    </row>
    <row r="18" spans="1:8" x14ac:dyDescent="0.2">
      <c r="A18" s="22">
        <f>+A17+0.1</f>
        <v>2.2000000000000002</v>
      </c>
      <c r="B18" s="1" t="s">
        <v>26</v>
      </c>
      <c r="C18">
        <f>C19/'Financial Statements'!B7</f>
        <v>0.14540036075601914</v>
      </c>
      <c r="D18">
        <f>D19/'Financial Statements'!C7</f>
        <v>0.1352243792053657</v>
      </c>
      <c r="E18">
        <f>E19/'Financial Statements'!D7</f>
        <v>0.10347677465057965</v>
      </c>
      <c r="G18" s="32">
        <f t="shared" si="2"/>
        <v>7.5252566219580444E-2</v>
      </c>
      <c r="H18" s="32">
        <f t="shared" si="0"/>
        <v>0.30680898841301685</v>
      </c>
    </row>
    <row r="19" spans="1:8" x14ac:dyDescent="0.2">
      <c r="A19" s="22"/>
      <c r="B19" s="19" t="s">
        <v>27</v>
      </c>
      <c r="C19">
        <f>'Financial Statements'!B76+SUM('Financial Statements'!B78,'Financial Statements'!B79,'Financial Statements'!B81,'Financial Statements'!B82)</f>
        <v>40788</v>
      </c>
      <c r="D19">
        <f>'Financial Statements'!C76+SUM('Financial Statements'!C78,'Financial Statements'!C79,'Financial Statements'!C81,'Financial Statements'!C82)</f>
        <v>31492</v>
      </c>
      <c r="E19">
        <f>'Financial Statements'!D76+SUM('Financial Statements'!D78,'Financial Statements'!D79,'Financial Statements'!D81,'Financial Statements'!D82)</f>
        <v>18405</v>
      </c>
      <c r="G19" s="32">
        <f t="shared" si="2"/>
        <v>0.29518607900419153</v>
      </c>
      <c r="H19" s="32">
        <f t="shared" si="0"/>
        <v>0.71105677804944312</v>
      </c>
    </row>
    <row r="20" spans="1:8" x14ac:dyDescent="0.2">
      <c r="A20" s="22">
        <f>+A18+0.1</f>
        <v>2.3000000000000003</v>
      </c>
      <c r="B20" s="1" t="s">
        <v>28</v>
      </c>
      <c r="C20">
        <f>C21/'Financial Statements'!B7</f>
        <v>6.8311932753937307E-2</v>
      </c>
      <c r="D20">
        <f>D21/'Financial Statements'!C7</f>
        <v>7.0527766685130555E-2</v>
      </c>
      <c r="E20">
        <f>E21/'Financial Statements'!D7</f>
        <v>4.008073493528836E-2</v>
      </c>
      <c r="G20" s="32">
        <f t="shared" si="2"/>
        <v>-3.1417894473899664E-2</v>
      </c>
      <c r="H20" s="32">
        <f t="shared" si="0"/>
        <v>0.75964255144023451</v>
      </c>
    </row>
    <row r="21" spans="1:8" x14ac:dyDescent="0.2">
      <c r="A21" s="22"/>
      <c r="B21" s="19" t="s">
        <v>29</v>
      </c>
      <c r="C21">
        <f>'Financial Statements'!B76+SUM('Financial Statements'!B79:B82)</f>
        <v>19163</v>
      </c>
      <c r="D21">
        <f>'Financial Statements'!C76+SUM('Financial Statements'!C79:C82)</f>
        <v>16425</v>
      </c>
      <c r="E21">
        <f>'Financial Statements'!D76+SUM('Financial Statements'!D79:D82)</f>
        <v>7129</v>
      </c>
      <c r="G21" s="32">
        <f t="shared" si="2"/>
        <v>0.16669710806697108</v>
      </c>
      <c r="H21" s="32">
        <f t="shared" ref="H21:H51" si="4">(D21-E21)/E21</f>
        <v>1.3039697012203675</v>
      </c>
    </row>
    <row r="22" spans="1:8" x14ac:dyDescent="0.2">
      <c r="A22" s="22">
        <f>+A20+0.1</f>
        <v>2.4000000000000004</v>
      </c>
      <c r="B22" s="1" t="s">
        <v>30</v>
      </c>
      <c r="C22">
        <f>'Financial Statements'!B23/'Financial Statements'!B7</f>
        <v>4.1308703060722513E-2</v>
      </c>
      <c r="D22">
        <f>'Financial Statements'!C23/'Financial Statements'!C7</f>
        <v>4.3252736305590261E-2</v>
      </c>
      <c r="E22">
        <f>'Financial Statements'!D23/'Financial Statements'!D7</f>
        <v>1.7052162864178651E-2</v>
      </c>
      <c r="G22" s="32">
        <f t="shared" si="2"/>
        <v>-4.4945901945549038E-2</v>
      </c>
      <c r="H22" s="32">
        <f t="shared" si="4"/>
        <v>1.5364956134949284</v>
      </c>
    </row>
    <row r="23" spans="1:8" x14ac:dyDescent="0.2">
      <c r="A23" s="22"/>
      <c r="G23" s="32"/>
      <c r="H23" s="32"/>
    </row>
    <row r="24" spans="1:8" x14ac:dyDescent="0.2">
      <c r="A24" s="22">
        <f>+A16+1</f>
        <v>3</v>
      </c>
      <c r="B24" s="9" t="s">
        <v>31</v>
      </c>
      <c r="G24" s="32"/>
      <c r="H24" s="32"/>
    </row>
    <row r="25" spans="1:8" x14ac:dyDescent="0.2">
      <c r="A25" s="22">
        <f>+A24+0.1</f>
        <v>3.1</v>
      </c>
      <c r="B25" s="1" t="s">
        <v>32</v>
      </c>
      <c r="C25">
        <f>('Financial Statements'!B52+'Financial Statements'!B52+'Financial Statements'!B51)/'Financial Statements'!B61</f>
        <v>1.3957299387689333</v>
      </c>
      <c r="D25">
        <f>('Financial Statements'!C52+'Financial Statements'!C52+'Financial Statements'!C51)/'Financial Statements'!C61</f>
        <v>1.3006039174263473</v>
      </c>
      <c r="E25">
        <f>('Financial Statements'!D52+'Financial Statements'!D52+'Financial Statements'!D51)/'Financial Statements'!D61</f>
        <v>1.7859179328016168</v>
      </c>
      <c r="G25" s="32">
        <f t="shared" si="2"/>
        <v>7.3139885300993579E-2</v>
      </c>
      <c r="H25" s="32">
        <f t="shared" si="4"/>
        <v>-0.27174485818278588</v>
      </c>
    </row>
    <row r="26" spans="1:8" x14ac:dyDescent="0.2">
      <c r="A26" s="22">
        <f t="shared" ref="A26:A30" si="5">+A25+0.1</f>
        <v>3.2</v>
      </c>
      <c r="B26" s="1" t="s">
        <v>33</v>
      </c>
      <c r="C26">
        <f>('Financial Statements'!B62-'Financial Statements'!B62)/'Financial Statements'!B44</f>
        <v>0</v>
      </c>
      <c r="D26">
        <f>('Financial Statements'!C62-'Financial Statements'!C62)/'Financial Statements'!C44</f>
        <v>0</v>
      </c>
      <c r="E26">
        <f>('Financial Statements'!D62-'Financial Statements'!D62)/'Financial Statements'!D44</f>
        <v>0</v>
      </c>
      <c r="G26" s="32" t="e">
        <f t="shared" si="2"/>
        <v>#DIV/0!</v>
      </c>
      <c r="H26" s="32" t="e">
        <f t="shared" si="4"/>
        <v>#DIV/0!</v>
      </c>
    </row>
    <row r="27" spans="1:8" x14ac:dyDescent="0.2">
      <c r="A27" s="22">
        <f t="shared" si="5"/>
        <v>3.3000000000000003</v>
      </c>
      <c r="B27" s="1" t="s">
        <v>34</v>
      </c>
      <c r="C27">
        <f>('Financial Statements'!B51+'Financial Statements'!B52+'Financial Statements'!B53)/('Financial Statements'!B51+'Financial Statements'!B52+'Financial Statements'!B53+'Financial Statements'!B61)</f>
        <v>0.54844436683256204</v>
      </c>
      <c r="D27">
        <f>('Financial Statements'!C51+'Financial Statements'!C52+'Financial Statements'!C53)/('Financial Statements'!C51+'Financial Statements'!C52+'Financial Statements'!C53+'Financial Statements'!C61)</f>
        <v>0.53797595934519449</v>
      </c>
      <c r="E27">
        <f>('Financial Statements'!D51+'Financial Statements'!D52+'Financial Statements'!D53)/('Financial Statements'!D51+'Financial Statements'!D52+'Financial Statements'!D53+'Financial Statements'!D61)</f>
        <v>0.62263200185217971</v>
      </c>
      <c r="G27" s="32">
        <f t="shared" si="2"/>
        <v>1.9458876006484244E-2</v>
      </c>
      <c r="H27" s="32">
        <f t="shared" si="4"/>
        <v>-0.13596481108448322</v>
      </c>
    </row>
    <row r="28" spans="1:8" x14ac:dyDescent="0.2">
      <c r="A28" s="22">
        <f t="shared" si="5"/>
        <v>3.4000000000000004</v>
      </c>
      <c r="B28" s="1" t="s">
        <v>35</v>
      </c>
      <c r="C28">
        <f>C21/'Financial Statements'!B111</f>
        <v>21.900571428571428</v>
      </c>
      <c r="D28">
        <f>D21/'Financial Statements'!C111</f>
        <v>19.233021077283372</v>
      </c>
      <c r="E28">
        <f>E21/'Financial Statements'!D111</f>
        <v>21.734756097560975</v>
      </c>
      <c r="G28" s="32">
        <f t="shared" si="2"/>
        <v>0.1386963774733638</v>
      </c>
      <c r="H28" s="32">
        <f t="shared" si="4"/>
        <v>-0.11510297189662702</v>
      </c>
    </row>
    <row r="29" spans="1:8" x14ac:dyDescent="0.2">
      <c r="A29" s="22">
        <f t="shared" si="5"/>
        <v>3.5000000000000004</v>
      </c>
      <c r="B29" s="1" t="s">
        <v>36</v>
      </c>
      <c r="C29">
        <f>'Financial Statements'!B76/(SUM('Financial Statements'!B92:B96))</f>
        <v>-0.4772455829661052</v>
      </c>
      <c r="D29">
        <f>'Financial Statements'!C76/(SUM('Financial Statements'!C92:C96))</f>
        <v>-0.81437464629315226</v>
      </c>
      <c r="E29">
        <f>'Financial Statements'!D76/(SUM('Financial Statements'!D92:D96))</f>
        <v>-0.11198493575542756</v>
      </c>
      <c r="G29" s="32">
        <f t="shared" si="2"/>
        <v>-0.41397293599645041</v>
      </c>
      <c r="H29" s="32">
        <f t="shared" si="4"/>
        <v>6.2721803231796027</v>
      </c>
    </row>
    <row r="30" spans="1:8" x14ac:dyDescent="0.2">
      <c r="A30" s="22">
        <f t="shared" si="5"/>
        <v>3.6000000000000005</v>
      </c>
      <c r="B30" s="1" t="s">
        <v>37</v>
      </c>
      <c r="G30" s="32" t="e">
        <f t="shared" si="2"/>
        <v>#DIV/0!</v>
      </c>
      <c r="H30" s="32" t="e">
        <f t="shared" si="4"/>
        <v>#DIV/0!</v>
      </c>
    </row>
    <row r="31" spans="1:8" x14ac:dyDescent="0.2">
      <c r="A31" s="22"/>
      <c r="B31" s="19" t="s">
        <v>38</v>
      </c>
      <c r="C31" s="16">
        <f>'Financial Statements'!B76+'Financial Statements'!B78+'Financial Statements'!B111-'List of Ratios'!C14</f>
        <v>25730</v>
      </c>
      <c r="D31" s="16">
        <f>'Financial Statements'!C76+'Financial Statements'!C78+'Financial Statements'!C111-'List of Ratios'!D14</f>
        <v>19558</v>
      </c>
      <c r="E31" s="16">
        <f>'Financial Statements'!D76+'Financial Statements'!D78+'Financial Statements'!D111-'List of Ratios'!E14</f>
        <v>12525</v>
      </c>
      <c r="G31" s="32">
        <f t="shared" si="2"/>
        <v>0.3155741895899376</v>
      </c>
      <c r="H31" s="32">
        <f t="shared" si="4"/>
        <v>0.56151696606786428</v>
      </c>
    </row>
    <row r="32" spans="1:8" x14ac:dyDescent="0.2">
      <c r="A32" s="22"/>
      <c r="G32" s="32"/>
      <c r="H32" s="32"/>
    </row>
    <row r="33" spans="1:8" x14ac:dyDescent="0.2">
      <c r="A33" s="22">
        <f>+A24+1</f>
        <v>4</v>
      </c>
      <c r="B33" s="23" t="s">
        <v>39</v>
      </c>
      <c r="G33" s="32"/>
      <c r="H33" s="32"/>
    </row>
    <row r="34" spans="1:8" x14ac:dyDescent="0.2">
      <c r="A34" s="22">
        <f>+A33+0.1</f>
        <v>4.0999999999999996</v>
      </c>
      <c r="B34" s="1" t="s">
        <v>40</v>
      </c>
      <c r="C34">
        <f>'Financial Statements'!B7/'Financial Statements'!B44</f>
        <v>1.2453917459866459</v>
      </c>
      <c r="D34">
        <f>'Financial Statements'!C7/'Financial Statements'!C44</f>
        <v>1.431846687324775</v>
      </c>
      <c r="E34">
        <f>'Financial Statements'!D7/'Financial Statements'!D44</f>
        <v>1.3545503008148656</v>
      </c>
      <c r="G34" s="32">
        <f t="shared" si="2"/>
        <v>-0.13021990621530624</v>
      </c>
      <c r="H34" s="32">
        <f t="shared" si="4"/>
        <v>5.7064242253248E-2</v>
      </c>
    </row>
    <row r="35" spans="1:8" x14ac:dyDescent="0.2">
      <c r="A35" s="22">
        <f t="shared" ref="A35:A37" si="6">+A34+0.1</f>
        <v>4.1999999999999993</v>
      </c>
      <c r="B35" s="1" t="s">
        <v>41</v>
      </c>
      <c r="C35">
        <f>'Financial Statements'!B7/(SUM('Financial Statements'!B40:B43))</f>
        <v>2.1760398405138308</v>
      </c>
      <c r="D35">
        <f>'Financial Statements'!C7/(SUM('Financial Statements'!C40:C43))</f>
        <v>2.6601368407826653</v>
      </c>
      <c r="E35">
        <f>'Financial Statements'!D7/(SUM('Financial Statements'!D40:D43))</f>
        <v>2.5011741875606428</v>
      </c>
      <c r="G35" s="32">
        <f t="shared" si="2"/>
        <v>-0.1819819916205527</v>
      </c>
      <c r="H35" s="32">
        <f t="shared" si="4"/>
        <v>6.3555210993543942E-2</v>
      </c>
    </row>
    <row r="36" spans="1:8" x14ac:dyDescent="0.2">
      <c r="A36" s="22">
        <f t="shared" si="6"/>
        <v>4.2999999999999989</v>
      </c>
      <c r="B36" s="1" t="s">
        <v>42</v>
      </c>
      <c r="C36">
        <f>'Financial Statements'!B7/'Financial Statements'!B84</f>
        <v>-85.577181208053688</v>
      </c>
      <c r="D36">
        <f>'Financial Statements'!C7/'Financial Statements'!C84</f>
        <v>-177.23515981735159</v>
      </c>
      <c r="E36">
        <f>'Financial Statements'!D7/'Financial Statements'!D84</f>
        <v>-49.641641082891432</v>
      </c>
      <c r="G36" s="32">
        <f t="shared" si="2"/>
        <v>-0.51715460241498001</v>
      </c>
      <c r="H36" s="32">
        <f t="shared" si="4"/>
        <v>2.5702921166809327</v>
      </c>
    </row>
    <row r="37" spans="1:8" x14ac:dyDescent="0.2">
      <c r="A37" s="22">
        <f t="shared" si="6"/>
        <v>4.3999999999999986</v>
      </c>
      <c r="B37" s="1" t="s">
        <v>43</v>
      </c>
      <c r="C37">
        <f>'Financial Statements'!B23/'Financial Statements'!B44</f>
        <v>5.1445517829237106E-2</v>
      </c>
      <c r="D37">
        <f>'Financial Statements'!C23/'Financial Statements'!C44</f>
        <v>6.1931287196891449E-2</v>
      </c>
      <c r="E37">
        <f>'Financial Statements'!D23/'Financial Statements'!D44</f>
        <v>2.3098012337217273E-2</v>
      </c>
      <c r="G37" s="32">
        <f t="shared" si="2"/>
        <v>-0.16931295702474372</v>
      </c>
      <c r="H37" s="32">
        <f t="shared" si="4"/>
        <v>1.6812388136577041</v>
      </c>
    </row>
    <row r="38" spans="1:8" x14ac:dyDescent="0.2">
      <c r="A38" s="22"/>
      <c r="G38" s="32"/>
      <c r="H38" s="32"/>
    </row>
    <row r="39" spans="1:8" x14ac:dyDescent="0.2">
      <c r="A39" s="22">
        <f>+A33+1</f>
        <v>5</v>
      </c>
      <c r="B39" s="23" t="s">
        <v>44</v>
      </c>
      <c r="G39" s="32" t="e">
        <f t="shared" si="2"/>
        <v>#DIV/0!</v>
      </c>
      <c r="H39" s="32" t="e">
        <f t="shared" si="4"/>
        <v>#DIV/0!</v>
      </c>
    </row>
    <row r="40" spans="1:8" x14ac:dyDescent="0.2">
      <c r="A40" s="22">
        <f>+A39+0.1</f>
        <v>5.0999999999999996</v>
      </c>
      <c r="B40" s="1" t="s">
        <v>45</v>
      </c>
      <c r="G40" s="32" t="e">
        <f t="shared" si="2"/>
        <v>#DIV/0!</v>
      </c>
      <c r="H40" s="32" t="e">
        <f t="shared" si="4"/>
        <v>#DIV/0!</v>
      </c>
    </row>
    <row r="41" spans="1:8" x14ac:dyDescent="0.2">
      <c r="A41" s="22">
        <f t="shared" ref="A41:A44" si="7">+A40+0.1</f>
        <v>5.1999999999999993</v>
      </c>
      <c r="B41" s="19" t="s">
        <v>46</v>
      </c>
      <c r="C41">
        <f>('Financial Statements'!B23)/(('Financial Statements'!B26+'Financial Statements'!B27)/2)</f>
        <v>23.22244488977956</v>
      </c>
      <c r="G41" s="32" t="e">
        <f t="shared" si="2"/>
        <v>#DIV/0!</v>
      </c>
      <c r="H41" s="32" t="e">
        <f t="shared" si="4"/>
        <v>#DIV/0!</v>
      </c>
    </row>
    <row r="42" spans="1:8" x14ac:dyDescent="0.2">
      <c r="A42" s="22">
        <f t="shared" si="7"/>
        <v>5.2999999999999989</v>
      </c>
      <c r="B42" s="1" t="s">
        <v>47</v>
      </c>
      <c r="G42" s="32" t="e">
        <f t="shared" si="2"/>
        <v>#DIV/0!</v>
      </c>
      <c r="H42" s="32" t="e">
        <f t="shared" si="4"/>
        <v>#DIV/0!</v>
      </c>
    </row>
    <row r="43" spans="1:8" x14ac:dyDescent="0.2">
      <c r="A43" s="22">
        <f t="shared" si="7"/>
        <v>5.3999999999999986</v>
      </c>
      <c r="B43" s="19" t="s">
        <v>48</v>
      </c>
      <c r="G43" s="32" t="e">
        <f t="shared" si="2"/>
        <v>#DIV/0!</v>
      </c>
      <c r="H43" s="32" t="e">
        <f t="shared" si="4"/>
        <v>#DIV/0!</v>
      </c>
    </row>
    <row r="44" spans="1:8" x14ac:dyDescent="0.2">
      <c r="A44" s="22">
        <f t="shared" si="7"/>
        <v>5.4999999999999982</v>
      </c>
      <c r="B44" s="1" t="s">
        <v>49</v>
      </c>
      <c r="G44" s="32" t="e">
        <f t="shared" si="2"/>
        <v>#DIV/0!</v>
      </c>
      <c r="H44" s="32" t="e">
        <f t="shared" si="4"/>
        <v>#DIV/0!</v>
      </c>
    </row>
    <row r="45" spans="1:8" x14ac:dyDescent="0.2">
      <c r="A45" s="22"/>
      <c r="B45" s="19" t="s">
        <v>50</v>
      </c>
      <c r="G45" s="32" t="e">
        <f t="shared" si="2"/>
        <v>#DIV/0!</v>
      </c>
      <c r="H45" s="32" t="e">
        <f t="shared" si="4"/>
        <v>#DIV/0!</v>
      </c>
    </row>
    <row r="46" spans="1:8" x14ac:dyDescent="0.2">
      <c r="A46" s="22">
        <f>+A44+0.1</f>
        <v>5.5999999999999979</v>
      </c>
      <c r="B46" s="1" t="s">
        <v>51</v>
      </c>
      <c r="G46" s="32" t="e">
        <f t="shared" si="2"/>
        <v>#DIV/0!</v>
      </c>
      <c r="H46" s="32" t="e">
        <f t="shared" si="4"/>
        <v>#DIV/0!</v>
      </c>
    </row>
    <row r="47" spans="1:8" x14ac:dyDescent="0.2">
      <c r="A47" s="22">
        <f t="shared" ref="A47:A50" si="8">+A45+0.1</f>
        <v>0.1</v>
      </c>
      <c r="B47" s="1" t="s">
        <v>52</v>
      </c>
      <c r="C47">
        <f>'Financial Statements'!B23/'Financial Statements'!B61</f>
        <v>0.1867225265871737</v>
      </c>
      <c r="D47">
        <f>'Financial Statements'!C23/'Financial Statements'!C61</f>
        <v>0.231302670555007</v>
      </c>
      <c r="E47">
        <f>'Financial Statements'!D23/'Financial Statements'!D61</f>
        <v>0.10945902053484427</v>
      </c>
      <c r="G47" s="32">
        <f t="shared" si="2"/>
        <v>-0.19273510271569269</v>
      </c>
      <c r="H47" s="32">
        <f t="shared" si="4"/>
        <v>1.1131439823305933</v>
      </c>
    </row>
    <row r="48" spans="1:8" x14ac:dyDescent="0.2">
      <c r="A48" s="22">
        <f t="shared" si="8"/>
        <v>5.6999999999999975</v>
      </c>
      <c r="B48" s="1" t="s">
        <v>53</v>
      </c>
      <c r="C48">
        <f>C21/('Financial Statements'!B44-'Financial Statements'!B50)</f>
        <v>0.13943217206554323</v>
      </c>
      <c r="D48">
        <f>D21/('Financial Statements'!C44-'Financial Statements'!C50)</f>
        <v>0.17425761481905852</v>
      </c>
      <c r="E48">
        <f>E21/('Financial Statements'!D44-'Financial Statements'!D50)</f>
        <v>9.7089626431694068E-2</v>
      </c>
      <c r="G48" s="32">
        <f t="shared" si="2"/>
        <v>-0.19985033531921406</v>
      </c>
      <c r="H48" s="32">
        <f t="shared" si="4"/>
        <v>0.79481187870935743</v>
      </c>
    </row>
    <row r="49" spans="1:8" x14ac:dyDescent="0.2">
      <c r="A49" s="22">
        <f t="shared" si="8"/>
        <v>0.2</v>
      </c>
      <c r="B49" s="1" t="s">
        <v>43</v>
      </c>
      <c r="C49">
        <f>C37</f>
        <v>5.1445517829237106E-2</v>
      </c>
      <c r="D49">
        <f t="shared" ref="D49:E49" si="9">D37</f>
        <v>6.1931287196891449E-2</v>
      </c>
      <c r="E49">
        <f t="shared" si="9"/>
        <v>2.3098012337217273E-2</v>
      </c>
      <c r="G49" s="32">
        <f t="shared" si="2"/>
        <v>-0.16931295702474372</v>
      </c>
      <c r="H49" s="32">
        <f t="shared" si="4"/>
        <v>1.6812388136577041</v>
      </c>
    </row>
    <row r="50" spans="1:8" x14ac:dyDescent="0.2">
      <c r="A50" s="22">
        <f t="shared" si="8"/>
        <v>5.7999999999999972</v>
      </c>
      <c r="B50" s="1" t="s">
        <v>54</v>
      </c>
      <c r="G50" s="32" t="e">
        <f t="shared" si="2"/>
        <v>#DIV/0!</v>
      </c>
      <c r="H50" s="32" t="e">
        <f t="shared" si="4"/>
        <v>#DIV/0!</v>
      </c>
    </row>
    <row r="51" spans="1:8" x14ac:dyDescent="0.2">
      <c r="A51" s="22"/>
      <c r="B51" s="19" t="s">
        <v>55</v>
      </c>
      <c r="C51">
        <f>(C53*'Financial Statements'!B24)+SUM('Financial Statements'!B50:B53)</f>
        <v>165350.3082</v>
      </c>
      <c r="G51" s="32">
        <v>0.11</v>
      </c>
      <c r="H51" s="32" t="e">
        <f t="shared" si="4"/>
        <v>#DIV/0!</v>
      </c>
    </row>
    <row r="53" spans="1:8" x14ac:dyDescent="0.2">
      <c r="B53" s="1" t="s">
        <v>153</v>
      </c>
      <c r="C53">
        <v>92.17</v>
      </c>
      <c r="D53">
        <v>74.918099999999995</v>
      </c>
      <c r="E53">
        <v>58.332999999999998</v>
      </c>
    </row>
  </sheetData>
  <mergeCells count="2">
    <mergeCell ref="C2:E2"/>
    <mergeCell ref="G2:I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Financial Statements</vt:lpstr>
      <vt:lpstr>List of Ratios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Max Hackett</cp:lastModifiedBy>
  <dcterms:created xsi:type="dcterms:W3CDTF">2020-05-19T16:15:53Z</dcterms:created>
  <dcterms:modified xsi:type="dcterms:W3CDTF">2024-09-03T09:49:06Z</dcterms:modified>
</cp:coreProperties>
</file>