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6f3edad6b17c07/Desktop/"/>
    </mc:Choice>
  </mc:AlternateContent>
  <xr:revisionPtr revIDLastSave="13" documentId="8_{A1F38A30-E80B-4340-A590-E33565389566}" xr6:coauthVersionLast="47" xr6:coauthVersionMax="47" xr10:uidLastSave="{B1AEDC45-234C-41B6-A247-DE5185C4D906}"/>
  <bookViews>
    <workbookView xWindow="-108" yWindow="-108" windowWidth="23256" windowHeight="12456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E73" i="3"/>
  <c r="C73" i="3"/>
  <c r="D72" i="3"/>
  <c r="E72" i="3"/>
  <c r="C72" i="3"/>
  <c r="E71" i="3"/>
  <c r="E68" i="3"/>
  <c r="E67" i="3"/>
  <c r="D66" i="3"/>
  <c r="E66" i="3"/>
  <c r="D65" i="3"/>
  <c r="E65" i="3"/>
  <c r="E64" i="3"/>
  <c r="D71" i="3"/>
  <c r="C71" i="3"/>
  <c r="D68" i="3"/>
  <c r="C68" i="3"/>
  <c r="D67" i="3"/>
  <c r="C67" i="3"/>
  <c r="C66" i="3"/>
  <c r="C65" i="3"/>
  <c r="D64" i="3"/>
  <c r="C64" i="3"/>
  <c r="D60" i="3"/>
  <c r="C60" i="3"/>
  <c r="D56" i="3"/>
  <c r="C56" i="3"/>
  <c r="D59" i="3"/>
  <c r="C59" i="3"/>
  <c r="D58" i="3"/>
  <c r="C58" i="3"/>
  <c r="D57" i="3"/>
  <c r="C57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E14" i="3"/>
  <c r="D14" i="3"/>
  <c r="D30" i="3"/>
  <c r="E30" i="3"/>
  <c r="C30" i="3"/>
  <c r="D50" i="3"/>
  <c r="E50" i="3"/>
  <c r="D41" i="3"/>
  <c r="E41" i="3"/>
  <c r="C50" i="3"/>
  <c r="C51" i="3"/>
  <c r="D51" i="3"/>
  <c r="E51" i="3"/>
  <c r="D49" i="3"/>
  <c r="E49" i="3"/>
  <c r="C49" i="3"/>
  <c r="D48" i="3"/>
  <c r="E48" i="3"/>
  <c r="C48" i="3"/>
  <c r="C21" i="3"/>
  <c r="D47" i="3"/>
  <c r="E47" i="3"/>
  <c r="C47" i="3"/>
  <c r="D46" i="3"/>
  <c r="E46" i="3"/>
  <c r="C46" i="3"/>
  <c r="D44" i="3"/>
  <c r="E44" i="3"/>
  <c r="D45" i="3"/>
  <c r="E45" i="3"/>
  <c r="C45" i="3"/>
  <c r="C44" i="3" s="1"/>
  <c r="C41" i="3"/>
  <c r="D42" i="3"/>
  <c r="E42" i="3"/>
  <c r="C42" i="3"/>
  <c r="D43" i="3"/>
  <c r="E43" i="3"/>
  <c r="C43" i="3"/>
  <c r="D40" i="3"/>
  <c r="E40" i="3"/>
  <c r="C40" i="3"/>
  <c r="D37" i="3"/>
  <c r="E37" i="3"/>
  <c r="C37" i="3"/>
  <c r="D36" i="3"/>
  <c r="E36" i="3"/>
  <c r="C36" i="3"/>
  <c r="C35" i="3"/>
  <c r="D35" i="3"/>
  <c r="E35" i="3"/>
  <c r="D34" i="3"/>
  <c r="E34" i="3"/>
  <c r="C34" i="3"/>
  <c r="C19" i="3"/>
  <c r="C18" i="3" s="1"/>
  <c r="D31" i="3"/>
  <c r="E31" i="3"/>
  <c r="C31" i="3"/>
  <c r="H30" i="3"/>
  <c r="I30" i="3"/>
  <c r="G30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D18" i="3"/>
  <c r="E18" i="3"/>
  <c r="D19" i="3"/>
  <c r="E19" i="3"/>
  <c r="D17" i="3"/>
  <c r="E17" i="3"/>
  <c r="C17" i="3"/>
  <c r="C13" i="3"/>
  <c r="C14" i="3"/>
  <c r="C12" i="3"/>
  <c r="C11" i="3"/>
  <c r="C10" i="3"/>
  <c r="C9" i="3"/>
  <c r="C8" i="3"/>
  <c r="C7" i="3"/>
  <c r="C6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<sst xmlns="http://schemas.openxmlformats.org/spreadsheetml/2006/main" count="191" uniqueCount="166">
  <si>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</si>
  <si>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</si>
  <si>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</si>
  <si>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</si>
  <si>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</si>
  <si>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</si>
  <si>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</si>
  <si>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</si>
  <si>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</si>
  <si>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</si>
  <si>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</si>
  <si>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</si>
  <si>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</si>
  <si>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</si>
  <si>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</si>
  <si>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</si>
  <si>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</si>
  <si>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</si>
  <si>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</si>
  <si>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</si>
  <si>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</si>
  <si>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</si>
  <si>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</si>
  <si>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</si>
  <si>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</si>
  <si>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</si>
  <si>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</si>
  <si>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</si>
  <si>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</si>
  <si>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</si>
  <si>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</si>
  <si>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</si>
  <si>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</si>
  <si>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</si>
  <si>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</si>
  <si>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</si>
  <si>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</si>
  <si>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</si>
  <si>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</si>
  <si>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</si>
  <si>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</si>
  <si>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</si>
  <si>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</si>
  <si>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</si>
  <si>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</si>
  <si>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</si>
  <si>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</si>
  <si>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</si>
  <si>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</si>
  <si>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</si>
  <si>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</si>
  <si>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</si>
  <si>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</si>
  <si>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</si>
  <si>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</si>
  <si>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</si>
  <si>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</si>
  <si>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</si>
  <si>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</si>
  <si>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</si>
  <si>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</si>
  <si>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</si>
  <si>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</si>
  <si>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</si>
  <si>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</si>
  <si>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</si>
  <si>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</si>
  <si>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</si>
  <si>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</si>
  <si>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</si>
  <si>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</si>
  <si>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</si>
  <si>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</si>
  <si>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</si>
  <si>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</si>
  <si>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</si>
  <si>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</si>
  <si>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</si>
  <si>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</si>
  <si>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</si>
  <si>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</si>
  <si>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</si>
  <si>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</si>
  <si>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</si>
  <si>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</si>
  <si>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</si>
  <si>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</si>
  <si>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</si>
  <si>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</si>
  <si>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</si>
  <si>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</si>
  <si>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</si>
  <si>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</si>
  <si>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</si>
  <si>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</si>
  <si>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</si>
  <si>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</si>
  <si>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</si>
  <si>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</si>
  <si>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</si>
  <si>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</si>
  <si>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</si>
  <si>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</si>
  <si>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</si>
  <si>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</si>
  <si>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</si>
  <si>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</si>
  <si>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</si>
  <si>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</si>
  <si>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</si>
  <si>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</si>
  <si>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</si>
  <si>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</si>
  <si>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</si>
  <si>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</si>
  <si>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</si>
  <si>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</si>
  <si>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</si>
  <si>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</si>
  <si>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</si>
  <si>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</si>
  <si>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</si>
  <si>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</si>
  <si>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</si>
  <si>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</si>
  <si>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</si>
  <si>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</si>
  <si>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</si>
  <si>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</si>
  <si>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</si>
  <si>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</si>
  <si>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</si>
  <si>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</si>
  <si>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</si>
  <si>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</si>
  <si>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</si>
  <si>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</si>
  <si>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</si>
  <si>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</si>
  <si>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</si>
  <si>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</si>
  <si>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</si>
  <si>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</si>
  <si>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</si>
  <si>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</si>
  <si>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</si>
  <si>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</si>
  <si>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</si>
  <si>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</si>
  <si>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</si>
  <si>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 borrowing</t>
  </si>
  <si>
    <t xml:space="preserve">Market closing price </t>
  </si>
  <si>
    <t>Growth Rates</t>
  </si>
  <si>
    <t>Gross profit</t>
  </si>
  <si>
    <t>operating income</t>
  </si>
  <si>
    <t>Sales</t>
  </si>
  <si>
    <t>Operating expense</t>
  </si>
  <si>
    <t>Margins as % of net sales</t>
  </si>
  <si>
    <t>COGS</t>
  </si>
  <si>
    <t xml:space="preserve">Gross profit </t>
  </si>
  <si>
    <t xml:space="preserve">operating expense </t>
  </si>
  <si>
    <t>net profit</t>
  </si>
  <si>
    <t xml:space="preserve">Additional items </t>
  </si>
  <si>
    <t xml:space="preserve">income tax rate </t>
  </si>
  <si>
    <t>capex as % of sales</t>
  </si>
  <si>
    <t>capex as % of fixed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</si>
</sst>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64" fontId="0" fillId="0" borderId="0" xfId="1" applyFont="1"/>
    <xf numFmtId="2" fontId="0" fillId="0" borderId="0" xfId="0" applyNumberFormat="1"/>
    <xf numFmtId="43" fontId="0" fillId="0" borderId="0" xfId="0" applyNumberFormat="1"/>
    <xf numFmtId="164" fontId="0" fillId="0" borderId="0" xfId="0" applyNumberFormat="1"/>
    <xf numFmtId="10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0" workbookViewId="0">
      <selection activeCell="D25" sqref="D2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8" spans="1:1" x14ac:dyDescent="0.3">
      <c r="A28">
        <v>192.35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7" workbookViewId="0">
      <selection activeCell="B108" sqref="B10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abSelected="1" topLeftCell="A10" workbookViewId="0">
      <selection activeCell="F70" sqref="F70"/>
    </sheetView>
  </sheetViews>
  <sheetFormatPr defaultRowHeight="14.4" x14ac:dyDescent="0.3"/>
  <cols>
    <col min="1" max="1" width="4.6640625" customWidth="1"/>
    <col min="2" max="2" width="44.88671875" customWidth="1"/>
    <col min="3" max="3" width="11.21875" bestFit="1" customWidth="1"/>
    <col min="4" max="4" width="11.6640625" customWidth="1"/>
    <col min="5" max="5" width="10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6">
        <f>'Financial Statements'!B42/(('Financial Statements'!B12+'Financial Statements'!B17)/365)</f>
        <v>179.79062610270981</v>
      </c>
      <c r="D8" s="26">
        <f>'Financial Statements'!C42/(('Financial Statements'!C12+'Financial Statements'!C17)/365)</f>
        <v>191.59700702306242</v>
      </c>
      <c r="E8" s="26">
        <f>'Financial Statements'!D42/(('Financial Statements'!D12+'Financial Statements'!D17)/365)</f>
        <v>251.91375277941862</v>
      </c>
    </row>
    <row r="9" spans="1:10" x14ac:dyDescent="0.3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6">
        <f>C9+C11-C10</f>
        <v>-70.521753872831582</v>
      </c>
      <c r="D12" s="26">
        <f t="shared" ref="D12:E12" si="1">D9+D11-D10</f>
        <v>-56.355166632892498</v>
      </c>
      <c r="E12" s="26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26">
        <f>(C14/'Financial Statements'!B8)*100</f>
        <v>-4.7110527276784806</v>
      </c>
      <c r="D13" s="26">
        <f>(D14/'Financial Statements'!C8)*100</f>
        <v>2.5572895737486232</v>
      </c>
      <c r="E13" s="26">
        <f>(E14/'Financial Statements'!D8)*100</f>
        <v>13.959528623208204</v>
      </c>
    </row>
    <row r="14" spans="1:10" x14ac:dyDescent="0.3">
      <c r="A14" s="18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9" x14ac:dyDescent="0.3">
      <c r="A17" s="18">
        <f>+A16+0.1</f>
        <v>2.1</v>
      </c>
      <c r="B17" s="1" t="s">
        <v>9</v>
      </c>
      <c r="C17" s="26">
        <f>('Financial Statements'!B13/'Financial Statements'!B8)*100</f>
        <v>43.309630561360088</v>
      </c>
      <c r="D17" s="26">
        <f>('Financial Statements'!C13/'Financial Statements'!C8)*100</f>
        <v>41.779359625167778</v>
      </c>
      <c r="E17" s="26">
        <f>('Financial Statements'!D13/'Financial Statements'!D8)*100</f>
        <v>38.233247727810863</v>
      </c>
    </row>
    <row r="18" spans="1:9" x14ac:dyDescent="0.3">
      <c r="A18" s="18">
        <f>+A17+0.1</f>
        <v>2.2000000000000002</v>
      </c>
      <c r="B18" s="1" t="s">
        <v>111</v>
      </c>
      <c r="C18" s="26">
        <f>(C19/'Financial Statements'!B8)*100</f>
        <v>33.019973220263331</v>
      </c>
      <c r="D18" s="26">
        <f>(D19/'Financial Statements'!C8)*100</f>
        <v>32.796452871244362</v>
      </c>
      <c r="E18" s="26">
        <f>(E19/'Financial Statements'!D8)*100</f>
        <v>27.882265085696595</v>
      </c>
    </row>
    <row r="19" spans="1:9" x14ac:dyDescent="0.3">
      <c r="A19" s="18"/>
      <c r="B19" s="3" t="s">
        <v>112</v>
      </c>
      <c r="C19">
        <f>'Financial Statements'!B18+'Financial Statements'!B79+'Financial Statements'!B19</f>
        <v>130207</v>
      </c>
      <c r="D19">
        <f>'Financial Statements'!C18+'Financial Statements'!C79-'Financial Statements'!C19</f>
        <v>119975</v>
      </c>
      <c r="E19">
        <f>'Financial Statements'!D18+'Financial Statements'!D79-'Financial Statements'!D19</f>
        <v>76541</v>
      </c>
    </row>
    <row r="20" spans="1:9" x14ac:dyDescent="0.3">
      <c r="A20" s="18">
        <f>+A18+0.1</f>
        <v>2.3000000000000003</v>
      </c>
      <c r="B20" s="1" t="s">
        <v>113</v>
      </c>
      <c r="C20" s="26">
        <f>(C21/'Financial Statements'!B8)*100</f>
        <v>30.288744395528592</v>
      </c>
      <c r="D20" s="26">
        <f>(D21/'Financial Statements'!C8)*100</f>
        <v>29.782377527561593</v>
      </c>
      <c r="E20" s="26">
        <f>(E21/'Financial Statements'!D8)*100</f>
        <v>24.147314354406863</v>
      </c>
    </row>
    <row r="21" spans="1:9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9" x14ac:dyDescent="0.3">
      <c r="A22" s="18">
        <f>+A20+0.1</f>
        <v>2.4000000000000004</v>
      </c>
      <c r="B22" s="1" t="s">
        <v>115</v>
      </c>
      <c r="C22" s="26">
        <f>('Financial Statements'!B22/'Financial Statements'!B8)*100</f>
        <v>25.309640705199733</v>
      </c>
      <c r="D22" s="26">
        <f>('Financial Statements'!C22/'Financial Statements'!C8)*100</f>
        <v>25.881793355694239</v>
      </c>
      <c r="E22" s="26">
        <f>('Financial Statements'!D22/'Financial Statements'!D8)*100</f>
        <v>20.913611278072235</v>
      </c>
    </row>
    <row r="23" spans="1:9" x14ac:dyDescent="0.3">
      <c r="A23" s="18"/>
    </row>
    <row r="24" spans="1:9" x14ac:dyDescent="0.3">
      <c r="A24" s="18">
        <f>+A16+1</f>
        <v>3</v>
      </c>
      <c r="B24" s="7" t="s">
        <v>116</v>
      </c>
    </row>
    <row r="25" spans="1:9" x14ac:dyDescent="0.3">
      <c r="A25" s="18">
        <f>+A24+0.1</f>
        <v>3.1</v>
      </c>
      <c r="B25" s="1" t="s">
        <v>117</v>
      </c>
      <c r="C25" s="26">
        <f>('Financial Statements'!B55+'Financial Statements'!B59)/'Financial Statements'!B68</f>
        <v>2.1725410483107042</v>
      </c>
      <c r="D25" s="26">
        <f>('Financial Statements'!C55+'Financial Statements'!C59)/'Financial Statements'!C68</f>
        <v>1.8817403708987162</v>
      </c>
      <c r="E25" s="26">
        <f>('Financial Statements'!D55+'Financial Statements'!D59)/'Financial Statements'!D68</f>
        <v>1.6443471739696047</v>
      </c>
    </row>
    <row r="26" spans="1:9" x14ac:dyDescent="0.3">
      <c r="A26" s="18">
        <f t="shared" ref="A26:A30" si="2">+A25+0.1</f>
        <v>3.2</v>
      </c>
      <c r="B26" s="1" t="s">
        <v>118</v>
      </c>
      <c r="C26" s="26">
        <f>('Financial Statements'!B55+'Financial Statements'!B59)/'Financial Statements'!B48</f>
        <v>0.31207778769967826</v>
      </c>
      <c r="D26" s="26">
        <f>('Financial Statements'!C55+'Financial Statements'!C59)/'Financial Statements'!C48</f>
        <v>0.33822884200090025</v>
      </c>
      <c r="E26" s="26">
        <f>('Financial Statements'!D55+'Financial Statements'!D59)/'Financial Statements'!D48</f>
        <v>0.33171960677765155</v>
      </c>
    </row>
    <row r="27" spans="1:9" x14ac:dyDescent="0.3">
      <c r="A27" s="18">
        <f t="shared" si="2"/>
        <v>3.3000000000000003</v>
      </c>
      <c r="B27" s="1" t="s">
        <v>119</v>
      </c>
      <c r="C27" s="26">
        <f>'Financial Statements'!B59/('Financial Statements'!B59+'Financial Statements'!B68)</f>
        <v>0.66135359651409131</v>
      </c>
      <c r="D27" s="26">
        <f>'Financial Statements'!C59/('Financial Statements'!C59+'Financial Statements'!C68)</f>
        <v>0.63361518269878514</v>
      </c>
      <c r="E27" s="26">
        <f>'Financial Statements'!D59/('Financial Statements'!D59+'Financial Statements'!D68)</f>
        <v>0.60160603880345842</v>
      </c>
    </row>
    <row r="28" spans="1:9" x14ac:dyDescent="0.3">
      <c r="A28" s="18">
        <f t="shared" si="2"/>
        <v>3.4000000000000004</v>
      </c>
      <c r="B28" s="1" t="s">
        <v>120</v>
      </c>
      <c r="C28" s="26">
        <f>C21/'Financial Statements'!B114</f>
        <v>41.68830715532286</v>
      </c>
      <c r="D28" s="26">
        <f>D21/'Financial Statements'!C114</f>
        <v>40.546706363974693</v>
      </c>
      <c r="E28" s="26">
        <f>E21/'Financial Statements'!D114</f>
        <v>22.081279147235175</v>
      </c>
    </row>
    <row r="29" spans="1:9" x14ac:dyDescent="0.3">
      <c r="A29" s="18">
        <f t="shared" si="2"/>
        <v>3.5000000000000004</v>
      </c>
      <c r="B29" s="1" t="s">
        <v>121</v>
      </c>
      <c r="C29" s="27">
        <f>'Financial Statements'!B91/('Financial Statements'!B55+'Financial Statements'!B59)</f>
        <v>1.1095860546658551</v>
      </c>
      <c r="D29" s="27">
        <f>'Financial Statements'!C91/('Financial Statements'!C55+'Financial Statements'!C59)</f>
        <v>0.8763382440889832</v>
      </c>
      <c r="E29" s="27">
        <f>'Financial Statements'!D91/('Financial Statements'!D55+'Financial Statements'!D59)</f>
        <v>0.75087490692479519</v>
      </c>
      <c r="G29" t="s">
        <v>150</v>
      </c>
    </row>
    <row r="30" spans="1:9" x14ac:dyDescent="0.3">
      <c r="A30" s="18">
        <f t="shared" si="2"/>
        <v>3.6000000000000005</v>
      </c>
      <c r="B30" s="1" t="s">
        <v>122</v>
      </c>
      <c r="C30" s="26">
        <f>(C31/'Financial Statements'!B27)*1000</f>
        <v>6.864840527818175</v>
      </c>
      <c r="D30" s="26">
        <f>(D31/'Financial Statements'!C27)*1000</f>
        <v>6.3239494572628958</v>
      </c>
      <c r="E30" s="26">
        <f>(E31/'Financial Statements'!D27)*1000</f>
        <v>4.3720308741543317</v>
      </c>
      <c r="G30">
        <f>'Financial Statements'!B104+'Financial Statements'!B105+'Financial Statements'!B106</f>
        <v>-123</v>
      </c>
      <c r="H30">
        <f>'Financial Statements'!C104+'Financial Statements'!C105+'Financial Statements'!C106</f>
        <v>12665</v>
      </c>
      <c r="I30">
        <f>'Financial Statements'!D104+'Financial Statements'!D105+'Financial Statements'!D106</f>
        <v>2499</v>
      </c>
    </row>
    <row r="31" spans="1:9" x14ac:dyDescent="0.3">
      <c r="A31" s="18"/>
      <c r="B31" s="3" t="s">
        <v>123</v>
      </c>
      <c r="C31">
        <f>'Financial Statements'!B91+'Financial Statements'!B96+'List of Ratios'!G30</f>
        <v>111320</v>
      </c>
      <c r="D31">
        <f>'Financial Statements'!C91+'Financial Statements'!C96+'List of Ratios'!H30</f>
        <v>105618</v>
      </c>
      <c r="E31">
        <f>'Financial Statements'!D91+'Financial Statements'!D96+'List of Ratios'!I30</f>
        <v>75864</v>
      </c>
    </row>
    <row r="32" spans="1:9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</row>
    <row r="35" spans="1:7" x14ac:dyDescent="0.3">
      <c r="A35" s="18">
        <f t="shared" ref="A35:A37" si="3">+A34+0.1</f>
        <v>4.1999999999999993</v>
      </c>
      <c r="B35" s="1" t="s">
        <v>126</v>
      </c>
      <c r="C35" s="26">
        <f>'Financial Statements'!B8/'Financial Statements'!B45</f>
        <v>9.3626801529073767</v>
      </c>
      <c r="D35" s="26">
        <f>'Financial Statements'!C8/'Financial Statements'!C45</f>
        <v>9.2752789046653152</v>
      </c>
      <c r="E35" s="26">
        <f>'Financial Statements'!D8/'Financial Statements'!D45</f>
        <v>7.4665451776097482</v>
      </c>
    </row>
    <row r="36" spans="1:7" x14ac:dyDescent="0.3">
      <c r="A36" s="18">
        <f t="shared" si="3"/>
        <v>4.2999999999999989</v>
      </c>
      <c r="B36" s="1" t="s">
        <v>127</v>
      </c>
      <c r="C36" s="26">
        <f>('Financial Statements'!B12)/(('Financial Statements'!B39+'Financial Statements'!C39)/2)</f>
        <v>38.789866389033492</v>
      </c>
      <c r="D36" s="26">
        <f>('Financial Statements'!C12)/(('Financial Statements'!C39+'Financial Statements'!D39)/2)</f>
        <v>40.030260313880277</v>
      </c>
      <c r="E36" s="26">
        <f>('Financial Statements'!D12)/(('Financial Statements'!D39+'Financial Statements'!E39)/2)</f>
        <v>83.506032996798822</v>
      </c>
    </row>
    <row r="37" spans="1:7" x14ac:dyDescent="0.3">
      <c r="A37" s="18">
        <f t="shared" si="3"/>
        <v>4.3999999999999986</v>
      </c>
      <c r="B37" s="1" t="s">
        <v>128</v>
      </c>
      <c r="C37" s="26">
        <f>('Financial Statements'!B22/'Financial Statements'!B48)*100</f>
        <v>28.292440929256852</v>
      </c>
      <c r="D37" s="26">
        <f>('Financial Statements'!C22/'Financial Statements'!C48)*100</f>
        <v>26.974205275183614</v>
      </c>
      <c r="E37" s="26">
        <f>('Financial Statements'!D22/'Financial Statements'!D48)*100</f>
        <v>17.725571802598431</v>
      </c>
    </row>
    <row r="38" spans="1:7" x14ac:dyDescent="0.3">
      <c r="A38" s="18"/>
    </row>
    <row r="39" spans="1:7" x14ac:dyDescent="0.3">
      <c r="A39" s="18">
        <f>+A33+1</f>
        <v>5</v>
      </c>
      <c r="B39" s="17" t="s">
        <v>129</v>
      </c>
    </row>
    <row r="40" spans="1:7" x14ac:dyDescent="0.3">
      <c r="A40" s="18">
        <f>+A39+0.1</f>
        <v>5.0999999999999996</v>
      </c>
      <c r="B40" s="1" t="s">
        <v>130</v>
      </c>
      <c r="C40" s="26">
        <f>$G$41/'Financial Statements'!B25</f>
        <v>31.481178396072011</v>
      </c>
      <c r="D40" s="26">
        <f>$G$41/'Financial Statements'!C25</f>
        <v>34.286987522281635</v>
      </c>
      <c r="E40" s="26">
        <f>$G$41/'Financial Statements'!D25</f>
        <v>58.643292682926834</v>
      </c>
      <c r="G40" t="s">
        <v>151</v>
      </c>
    </row>
    <row r="41" spans="1:7" x14ac:dyDescent="0.3">
      <c r="A41" s="18">
        <f t="shared" ref="A41:A44" si="4">+A40+0.1</f>
        <v>5.1999999999999993</v>
      </c>
      <c r="B41" s="3" t="s">
        <v>131</v>
      </c>
      <c r="C41" s="26">
        <f>('Financial Statements'!B22/'Financial Statements'!B27)*1000</f>
        <v>6.1546144376377772</v>
      </c>
      <c r="D41" s="26">
        <f>('Financial Statements'!C22/'Financial Statements'!C27)*1000</f>
        <v>5.6690292811230192</v>
      </c>
      <c r="E41" s="26">
        <f>('Financial Statements'!D22/'Financial Statements'!D27)*1000</f>
        <v>3.3085872682177895</v>
      </c>
      <c r="G41">
        <v>192.35</v>
      </c>
    </row>
    <row r="42" spans="1:7" x14ac:dyDescent="0.3">
      <c r="A42" s="18">
        <f t="shared" si="4"/>
        <v>5.2999999999999989</v>
      </c>
      <c r="B42" s="1" t="s">
        <v>132</v>
      </c>
      <c r="C42" s="28">
        <f>$G$41/C43</f>
        <v>61.555503691387749</v>
      </c>
      <c r="D42" s="28">
        <f t="shared" ref="D42:E42" si="5">$G$41/D43</f>
        <v>50.919157857029639</v>
      </c>
      <c r="E42" s="28">
        <f t="shared" si="5"/>
        <v>51.082509521878201</v>
      </c>
    </row>
    <row r="43" spans="1:7" x14ac:dyDescent="0.3">
      <c r="A43" s="18">
        <f t="shared" si="4"/>
        <v>5.3999999999999986</v>
      </c>
      <c r="B43" s="3" t="s">
        <v>133</v>
      </c>
      <c r="C43" s="26">
        <f>('Financial Statements'!B68/'Financial Statements'!B27)*1000</f>
        <v>3.124822127430853</v>
      </c>
      <c r="D43" s="26">
        <f>('Financial Statements'!C68/'Financial Statements'!C27)*1000</f>
        <v>3.7775565837141025</v>
      </c>
      <c r="E43" s="26">
        <f>('Financial Statements'!D68/'Financial Statements'!D27)*1000</f>
        <v>3.765476712094932</v>
      </c>
    </row>
    <row r="44" spans="1:7" x14ac:dyDescent="0.3">
      <c r="A44" s="18">
        <f t="shared" si="4"/>
        <v>5.4999999999999982</v>
      </c>
      <c r="B44" s="1" t="s">
        <v>134</v>
      </c>
      <c r="C44" s="28">
        <f>C45/C41*100</f>
        <v>14.870294480125848</v>
      </c>
      <c r="D44" s="28">
        <f t="shared" ref="D44:E44" si="6">D45/D41*100</f>
        <v>15.279890156316011</v>
      </c>
      <c r="E44" s="28">
        <f t="shared" si="6"/>
        <v>24.52665865426486</v>
      </c>
    </row>
    <row r="45" spans="1:7" x14ac:dyDescent="0.3">
      <c r="A45" s="18"/>
      <c r="B45" s="3" t="s">
        <v>135</v>
      </c>
      <c r="C45" s="26">
        <f>(-'Financial Statements'!B102/'Financial Statements'!B27)*1000</f>
        <v>0.91520929099307891</v>
      </c>
      <c r="D45" s="26">
        <f>(-'Financial Statements'!C102/'Financial Statements'!C27)*1000</f>
        <v>0.86622144708498849</v>
      </c>
      <c r="E45" s="26">
        <f>(-'Financial Statements'!D102/'Financial Statements'!D27)*1000</f>
        <v>0.81148590555424382</v>
      </c>
    </row>
    <row r="46" spans="1:7" x14ac:dyDescent="0.3">
      <c r="A46" s="18">
        <f>+A44+0.1</f>
        <v>5.5999999999999979</v>
      </c>
      <c r="B46" s="1" t="s">
        <v>136</v>
      </c>
      <c r="C46" s="28">
        <f>C45/$G$41*100</f>
        <v>0.47580415440243251</v>
      </c>
      <c r="D46" s="28">
        <f t="shared" ref="D46:E46" si="7">D45/$G$41*100</f>
        <v>0.45033607854691371</v>
      </c>
      <c r="E46" s="28">
        <f t="shared" si="7"/>
        <v>0.42187985731959649</v>
      </c>
    </row>
    <row r="47" spans="1:7" x14ac:dyDescent="0.3">
      <c r="A47" s="18">
        <f t="shared" ref="A47:A50" si="8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7" x14ac:dyDescent="0.3">
      <c r="A48" s="18">
        <f t="shared" si="8"/>
        <v>5.6999999999999975</v>
      </c>
      <c r="B48" s="1" t="s">
        <v>138</v>
      </c>
      <c r="C48" s="26">
        <f>C21/('Financial Statements'!B48-'Financial Statements'!B56)</f>
        <v>0.60087134570590572</v>
      </c>
      <c r="D48" s="26">
        <f>D21/('Financial Statements'!C48-'Financial Statements'!C56)</f>
        <v>0.48309913489209433</v>
      </c>
      <c r="E48" s="26">
        <f>E21/('Financial Statements'!D48-'Financial Statements'!D56)</f>
        <v>0.30338312829525482</v>
      </c>
    </row>
    <row r="49" spans="1:5" x14ac:dyDescent="0.3">
      <c r="A49" s="18">
        <f t="shared" si="8"/>
        <v>0.2</v>
      </c>
      <c r="B49" s="1" t="s">
        <v>128</v>
      </c>
      <c r="C49" s="29">
        <f>C37</f>
        <v>28.292440929256852</v>
      </c>
      <c r="D49" s="29">
        <f t="shared" ref="D49:E49" si="9">D37</f>
        <v>26.974205275183614</v>
      </c>
      <c r="E49" s="29">
        <f t="shared" si="9"/>
        <v>17.725571802598431</v>
      </c>
    </row>
    <row r="50" spans="1:5" x14ac:dyDescent="0.3">
      <c r="A50" s="18">
        <f t="shared" si="8"/>
        <v>5.7999999999999972</v>
      </c>
      <c r="B50" s="1" t="s">
        <v>139</v>
      </c>
      <c r="C50" s="26">
        <f>C51/C19</f>
        <v>23955.908085202791</v>
      </c>
      <c r="D50" s="26">
        <f t="shared" ref="D50:E50" si="10">D51/D19</f>
        <v>26777.023948322567</v>
      </c>
      <c r="E50" s="26">
        <f t="shared" si="10"/>
        <v>43607.341341895197</v>
      </c>
    </row>
    <row r="51" spans="1:5" x14ac:dyDescent="0.3">
      <c r="A51" s="18"/>
      <c r="B51" s="3" t="s">
        <v>140</v>
      </c>
      <c r="C51">
        <f>('Financial Statements'!B27*'List of Ratios'!$G$41)+('Financial Statements'!B59+'Financial Statements'!B55)-'Financial Statements'!B36</f>
        <v>3119226924.0499997</v>
      </c>
      <c r="D51">
        <f>('Financial Statements'!C27*'List of Ratios'!$G$41)+('Financial Statements'!C59+'Financial Statements'!C55)-'Financial Statements'!C36</f>
        <v>3212573448.1999998</v>
      </c>
      <c r="E51">
        <f>('Financial Statements'!D27*'List of Ratios'!$G$41)+('Financial Statements'!D59+'Financial Statements'!D55)-'Financial Statements'!D36</f>
        <v>3337749513.6500001</v>
      </c>
    </row>
    <row r="55" spans="1:5" x14ac:dyDescent="0.3">
      <c r="B55" s="7" t="s">
        <v>152</v>
      </c>
    </row>
    <row r="56" spans="1:5" x14ac:dyDescent="0.3">
      <c r="B56" t="s">
        <v>155</v>
      </c>
      <c r="C56" s="25">
        <f>('Financial Statements'!B8-'Financial Statements'!C8)/'Financial Statements'!C8</f>
        <v>7.7937876041846058E-2</v>
      </c>
      <c r="D56" s="25">
        <f>('Financial Statements'!C8-'Financial Statements'!D8)/'Financial Statements'!D8</f>
        <v>0.33259384733074693</v>
      </c>
    </row>
    <row r="57" spans="1:5" x14ac:dyDescent="0.3">
      <c r="B57" t="s">
        <v>153</v>
      </c>
      <c r="C57" s="25">
        <f>(C17-D17)/D17</f>
        <v>3.6627438762141244E-2</v>
      </c>
      <c r="D57" s="25">
        <f>(D17-E17)/E17</f>
        <v>9.2749429046737095E-2</v>
      </c>
    </row>
    <row r="58" spans="1:5" x14ac:dyDescent="0.3">
      <c r="B58" t="s">
        <v>156</v>
      </c>
      <c r="C58" s="25">
        <f>('Financial Statements'!B17-'Financial Statements'!C17)/'Financial Statements'!C17</f>
        <v>0.16993642764372138</v>
      </c>
      <c r="D58" s="25">
        <f>('Financial Statements'!C17-'Financial Statements'!D17)/'Financial Statements'!D17</f>
        <v>0.13496948381090307</v>
      </c>
    </row>
    <row r="59" spans="1:5" x14ac:dyDescent="0.3">
      <c r="B59" t="s">
        <v>14</v>
      </c>
      <c r="C59" s="25">
        <f>('Financial Statements'!B18-'Financial Statements'!C18)/'Financial Statements'!C18</f>
        <v>9.6265225013538444E-2</v>
      </c>
      <c r="D59" s="25">
        <f>('Financial Statements'!C18-'Financial Statements'!D18)/'Financial Statements'!D18</f>
        <v>0.64357048032826458</v>
      </c>
    </row>
    <row r="60" spans="1:5" x14ac:dyDescent="0.3">
      <c r="B60" t="s">
        <v>18</v>
      </c>
      <c r="C60" s="25">
        <f>('Financial Statements'!B22-'Financial Statements'!C22)/'Financial Statements'!C22</f>
        <v>5.4108576256865229E-2</v>
      </c>
      <c r="D60" s="25">
        <f>('Financial Statements'!C22-'Financial Statements'!D22)/'Financial Statements'!D22</f>
        <v>0.64916131055024295</v>
      </c>
    </row>
    <row r="63" spans="1:5" x14ac:dyDescent="0.3">
      <c r="B63" s="7" t="s">
        <v>157</v>
      </c>
    </row>
    <row r="64" spans="1:5" x14ac:dyDescent="0.3">
      <c r="B64" t="s">
        <v>158</v>
      </c>
      <c r="C64" s="25">
        <f>('Financial Statements'!B12/'Financial Statements'!B8)</f>
        <v>0.56690369438639909</v>
      </c>
      <c r="D64" s="25">
        <f>('Financial Statements'!C12/'Financial Statements'!C8)</f>
        <v>0.58220640374832222</v>
      </c>
      <c r="E64" s="25">
        <f>('Financial Statements'!D12/'Financial Statements'!D8)</f>
        <v>0.61766752272189129</v>
      </c>
    </row>
    <row r="65" spans="2:5" x14ac:dyDescent="0.3">
      <c r="B65" t="s">
        <v>159</v>
      </c>
      <c r="C65" s="25">
        <f>'Financial Statements'!B13/'Financial Statements'!B8</f>
        <v>0.43309630561360085</v>
      </c>
      <c r="D65" s="25">
        <f>'Financial Statements'!C13/'Financial Statements'!C8</f>
        <v>0.41779359625167778</v>
      </c>
      <c r="E65" s="25">
        <f>'Financial Statements'!D13/'Financial Statements'!D8</f>
        <v>0.38233247727810865</v>
      </c>
    </row>
    <row r="66" spans="2:5" x14ac:dyDescent="0.3">
      <c r="B66" t="s">
        <v>160</v>
      </c>
      <c r="C66" s="25">
        <f>'Financial Statements'!B17/'Financial Statements'!B8</f>
        <v>0.13020886165831491</v>
      </c>
      <c r="D66" s="25">
        <f>'Financial Statements'!C17/'Financial Statements'!C8</f>
        <v>0.11996982097606181</v>
      </c>
      <c r="E66" s="25">
        <f>'Financial Statements'!D17/'Financial Statements'!D8</f>
        <v>0.14085933373404003</v>
      </c>
    </row>
    <row r="67" spans="2:5" x14ac:dyDescent="0.3">
      <c r="B67" t="s">
        <v>154</v>
      </c>
      <c r="C67" s="25">
        <f>'Financial Statements'!B18/'Financial Statements'!B8</f>
        <v>0.30288744395528594</v>
      </c>
      <c r="D67" s="25">
        <f>'Financial Statements'!C18/'Financial Statements'!C8</f>
        <v>0.29782377527561593</v>
      </c>
      <c r="E67" s="25">
        <f>'Financial Statements'!D18/'Financial Statements'!D8</f>
        <v>0.24147314354406862</v>
      </c>
    </row>
    <row r="68" spans="2:5" x14ac:dyDescent="0.3">
      <c r="B68" t="s">
        <v>161</v>
      </c>
      <c r="C68" s="25">
        <f>'Financial Statements'!B22/'Financial Statements'!B8</f>
        <v>0.25309640705199732</v>
      </c>
      <c r="D68" s="25">
        <f>'Financial Statements'!C22/'Financial Statements'!C8</f>
        <v>0.25881793355694238</v>
      </c>
      <c r="E68" s="25">
        <f>'Financial Statements'!D22/'Financial Statements'!D8</f>
        <v>0.20913611278072236</v>
      </c>
    </row>
    <row r="70" spans="2:5" x14ac:dyDescent="0.3">
      <c r="B70" s="7" t="s">
        <v>162</v>
      </c>
    </row>
    <row r="71" spans="2:5" x14ac:dyDescent="0.3">
      <c r="B71" t="s">
        <v>163</v>
      </c>
      <c r="C71" s="25">
        <f>1-('Financial Statements'!B22/'Financial Statements'!B20)</f>
        <v>0.16204461684424409</v>
      </c>
      <c r="D71" s="25">
        <f>1-('Financial Statements'!C22/'Financial Statements'!C20)</f>
        <v>0.1330226084408509</v>
      </c>
      <c r="E71" s="25">
        <f>1-('Financial Statements'!D22/'Financial Statements'!D20)</f>
        <v>0.14428164731484105</v>
      </c>
    </row>
    <row r="72" spans="2:5" x14ac:dyDescent="0.3">
      <c r="B72" t="s">
        <v>164</v>
      </c>
      <c r="C72" s="30">
        <f>-'Financial Statements'!B96/'Financial Statements'!B8</f>
        <v>2.7155058732831552E-2</v>
      </c>
      <c r="D72" s="30">
        <f>-'Financial Statements'!C96/'Financial Statements'!C8</f>
        <v>3.0302036264033657E-2</v>
      </c>
      <c r="E72" s="30">
        <f>-'Financial Statements'!D96/'Financial Statements'!D8</f>
        <v>2.6625138881299748E-2</v>
      </c>
    </row>
    <row r="73" spans="2:5" x14ac:dyDescent="0.3">
      <c r="B73" t="s">
        <v>165</v>
      </c>
      <c r="C73" s="25">
        <f>-'Financial Statements'!B96/'Financial Statements'!B45</f>
        <v>0.25424412944891611</v>
      </c>
      <c r="D73" s="25">
        <f>-'Financial Statements'!C96/'Financial Statements'!C45</f>
        <v>0.28105983772819471</v>
      </c>
      <c r="E73" s="25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Prajwal Rodrigues</cp:lastModifiedBy>
  <dcterms:created xsi:type="dcterms:W3CDTF">2020-05-18T16:32:37Z</dcterms:created>
  <dcterms:modified xsi:type="dcterms:W3CDTF">2024-06-10T22:03:01Z</dcterms:modified>
</cp:coreProperties>
</file>