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6f3edad6b17c07/Desktop/"/>
    </mc:Choice>
  </mc:AlternateContent>
  <xr:revisionPtr revIDLastSave="4" documentId="8_{C0242DE3-DF84-42C5-9E57-FC1F4F188191}" xr6:coauthVersionLast="47" xr6:coauthVersionMax="47" xr10:uidLastSave="{BEFE04DF-5A30-4E6F-900B-7E55AEA88D7F}"/>
  <bookViews>
    <workbookView xWindow="-108" yWindow="-108" windowWidth="23256" windowHeight="12456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3" l="1"/>
  <c r="D60" i="3"/>
  <c r="E59" i="3"/>
  <c r="D59" i="3"/>
  <c r="E58" i="3"/>
  <c r="D58" i="3"/>
  <c r="E57" i="3"/>
  <c r="D57" i="3"/>
  <c r="E56" i="3"/>
  <c r="D56" i="3"/>
  <c r="C51" i="3"/>
  <c r="E43" i="3"/>
  <c r="D43" i="3"/>
  <c r="C43" i="3"/>
  <c r="E41" i="3"/>
  <c r="D41" i="3"/>
  <c r="C41" i="3"/>
  <c r="H31" i="3"/>
  <c r="I31" i="3"/>
  <c r="G31" i="3"/>
  <c r="C31" i="3" s="1"/>
  <c r="C30" i="3" s="1"/>
  <c r="D115" i="1"/>
  <c r="C115" i="1"/>
  <c r="B115" i="1"/>
  <c r="D82" i="1"/>
  <c r="C82" i="1"/>
  <c r="B82" i="1"/>
  <c r="D65" i="1"/>
  <c r="C65" i="1"/>
  <c r="C68" i="1" s="1"/>
  <c r="B65" i="1"/>
  <c r="D60" i="1" l="1"/>
  <c r="C61" i="1"/>
  <c r="B52" i="1"/>
  <c r="B46" i="1"/>
  <c r="D46" i="1"/>
  <c r="C46" i="1"/>
  <c r="D21" i="1"/>
  <c r="C21" i="1"/>
  <c r="B21" i="1"/>
  <c r="D19" i="1"/>
  <c r="C19" i="1"/>
  <c r="B19" i="1"/>
  <c r="D16" i="1"/>
  <c r="C16" i="1"/>
  <c r="B16" i="1"/>
  <c r="D73" i="3"/>
  <c r="E73" i="3"/>
  <c r="C73" i="3"/>
  <c r="D51" i="3"/>
  <c r="E51" i="3"/>
  <c r="D45" i="3"/>
  <c r="D46" i="3" s="1"/>
  <c r="E45" i="3"/>
  <c r="E46" i="3" s="1"/>
  <c r="C45" i="3"/>
  <c r="C46" i="3" s="1"/>
  <c r="D40" i="3"/>
  <c r="E40" i="3"/>
  <c r="C40" i="3"/>
  <c r="D108" i="1"/>
  <c r="C108" i="1"/>
  <c r="B108" i="1"/>
  <c r="D99" i="1"/>
  <c r="C99" i="1"/>
  <c r="B99" i="1"/>
  <c r="D68" i="1" l="1"/>
  <c r="B68" i="1"/>
  <c r="D61" i="1"/>
  <c r="B61" i="1"/>
  <c r="D56" i="1"/>
  <c r="E7" i="3" s="1"/>
  <c r="C56" i="1"/>
  <c r="D7" i="3" s="1"/>
  <c r="B56" i="1"/>
  <c r="C7" i="3" s="1"/>
  <c r="D47" i="1"/>
  <c r="C47" i="1"/>
  <c r="B47" i="1"/>
  <c r="D42" i="1"/>
  <c r="C42" i="1"/>
  <c r="B42" i="1"/>
  <c r="D12" i="1"/>
  <c r="D17" i="1" s="1"/>
  <c r="C12" i="1"/>
  <c r="C17" i="1" s="1"/>
  <c r="B12" i="1"/>
  <c r="B17" i="1" s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8" i="1" l="1"/>
  <c r="C18" i="1"/>
  <c r="D18" i="1"/>
  <c r="E27" i="3"/>
  <c r="E25" i="3"/>
  <c r="E42" i="3"/>
  <c r="D42" i="3"/>
  <c r="D25" i="3"/>
  <c r="D27" i="3"/>
  <c r="C25" i="3"/>
  <c r="C27" i="3"/>
  <c r="C42" i="3"/>
  <c r="D5" i="3"/>
  <c r="D6" i="3"/>
  <c r="D14" i="3"/>
  <c r="D13" i="3" s="1"/>
  <c r="E14" i="3"/>
  <c r="E13" i="3" s="1"/>
  <c r="E5" i="3"/>
  <c r="E6" i="3"/>
  <c r="B48" i="1"/>
  <c r="C26" i="3" s="1"/>
  <c r="C14" i="3"/>
  <c r="C13" i="3" s="1"/>
  <c r="C6" i="3"/>
  <c r="C5" i="3"/>
  <c r="C10" i="3"/>
  <c r="C8" i="3"/>
  <c r="C9" i="3"/>
  <c r="C36" i="3"/>
  <c r="E36" i="3"/>
  <c r="E9" i="3"/>
  <c r="E10" i="3"/>
  <c r="E8" i="3"/>
  <c r="D8" i="3"/>
  <c r="D10" i="3"/>
  <c r="D9" i="3"/>
  <c r="D36" i="3"/>
  <c r="D13" i="1"/>
  <c r="E11" i="3"/>
  <c r="E72" i="3"/>
  <c r="E64" i="3"/>
  <c r="E35" i="3"/>
  <c r="E66" i="3"/>
  <c r="D66" i="3"/>
  <c r="D64" i="3"/>
  <c r="D35" i="3"/>
  <c r="D11" i="3"/>
  <c r="D72" i="3"/>
  <c r="C64" i="3"/>
  <c r="C11" i="3"/>
  <c r="C35" i="3"/>
  <c r="C66" i="3"/>
  <c r="C72" i="3"/>
  <c r="C62" i="1"/>
  <c r="C69" i="1" s="1"/>
  <c r="B13" i="1"/>
  <c r="C13" i="1"/>
  <c r="B62" i="1"/>
  <c r="B69" i="1" s="1"/>
  <c r="C48" i="1"/>
  <c r="D26" i="3" s="1"/>
  <c r="D62" i="1"/>
  <c r="D69" i="1" s="1"/>
  <c r="D48" i="1"/>
  <c r="E26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34" i="3" l="1"/>
  <c r="E34" i="3"/>
  <c r="C34" i="3"/>
  <c r="C12" i="3"/>
  <c r="E12" i="3"/>
  <c r="D12" i="3"/>
  <c r="E65" i="3"/>
  <c r="E17" i="3"/>
  <c r="D17" i="3"/>
  <c r="D65" i="3"/>
  <c r="C65" i="3"/>
  <c r="C17" i="3"/>
  <c r="A24" i="3"/>
  <c r="A25" i="3" s="1"/>
  <c r="A26" i="3" s="1"/>
  <c r="A27" i="3" s="1"/>
  <c r="A28" i="3" s="1"/>
  <c r="A29" i="3" s="1"/>
  <c r="A30" i="3" s="1"/>
  <c r="A33" i="3"/>
  <c r="D20" i="1" l="1"/>
  <c r="D22" i="1" s="1"/>
  <c r="E21" i="3"/>
  <c r="E67" i="3"/>
  <c r="E19" i="3"/>
  <c r="C20" i="1"/>
  <c r="C22" i="1" s="1"/>
  <c r="D21" i="3"/>
  <c r="D48" i="3" s="1"/>
  <c r="D19" i="3"/>
  <c r="D67" i="3"/>
  <c r="B20" i="1"/>
  <c r="B22" i="1" s="1"/>
  <c r="C21" i="3"/>
  <c r="C19" i="3"/>
  <c r="C67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D76" i="1" l="1"/>
  <c r="D91" i="1" s="1"/>
  <c r="D110" i="1" s="1"/>
  <c r="E71" i="3"/>
  <c r="E47" i="3"/>
  <c r="E44" i="3"/>
  <c r="E22" i="3"/>
  <c r="E37" i="3"/>
  <c r="E49" i="3" s="1"/>
  <c r="E68" i="3"/>
  <c r="E50" i="3"/>
  <c r="E18" i="3"/>
  <c r="E20" i="3"/>
  <c r="E28" i="3"/>
  <c r="E48" i="3"/>
  <c r="D50" i="3"/>
  <c r="D18" i="3"/>
  <c r="D20" i="3"/>
  <c r="D28" i="3"/>
  <c r="C76" i="1"/>
  <c r="C91" i="1" s="1"/>
  <c r="C110" i="1" s="1"/>
  <c r="D47" i="3"/>
  <c r="D71" i="3"/>
  <c r="D22" i="3"/>
  <c r="D44" i="3"/>
  <c r="D37" i="3"/>
  <c r="D49" i="3" s="1"/>
  <c r="D68" i="3"/>
  <c r="C18" i="3"/>
  <c r="C50" i="3"/>
  <c r="C20" i="3"/>
  <c r="C28" i="3"/>
  <c r="C48" i="3"/>
  <c r="B76" i="1"/>
  <c r="B91" i="1" s="1"/>
  <c r="B110" i="1" s="1"/>
  <c r="C71" i="3"/>
  <c r="C37" i="3"/>
  <c r="C49" i="3" s="1"/>
  <c r="C68" i="3"/>
  <c r="C22" i="3"/>
  <c r="C47" i="3"/>
  <c r="C44" i="3"/>
  <c r="E29" i="3" l="1"/>
  <c r="E31" i="3"/>
  <c r="E30" i="3" s="1"/>
  <c r="D29" i="3"/>
  <c r="D31" i="3"/>
  <c r="D30" i="3" s="1"/>
  <c r="C29" i="3"/>
</calcChain>
</file>

<file path=xl/sharedStrings.xml><?xml version="1.0" encoding="utf-8"?>
<sst xmlns="http://schemas.openxmlformats.org/spreadsheetml/2006/main" count="181" uniqueCount="158">
  <si>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</si>
  <si>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</si>
  <si>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</si>
  <si>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</si>
  <si>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</si>
  <si>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</si>
  <si>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</si>
  <si>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</si>
  <si>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</si>
  <si>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</si>
  <si>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</si>
  <si>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</si>
  <si>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</si>
  <si>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</si>
  <si>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</si>
  <si>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</si>
  <si>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</si>
  <si>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</si>
  <si>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</si>
  <si>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</si>
  <si>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</si>
  <si>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</si>
  <si>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</si>
  <si>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</si>
  <si>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</si>
  <si>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</si>
  <si>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</si>
  <si>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</si>
  <si>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</si>
  <si>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</si>
  <si>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</si>
  <si>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</si>
  <si>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</si>
  <si>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</si>
  <si>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</si>
  <si>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</si>
  <si>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</si>
  <si>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</si>
  <si>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</si>
  <si>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</si>
  <si>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</si>
  <si>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</si>
  <si>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</si>
  <si>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</si>
  <si>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</si>
  <si>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</si>
  <si>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</si>
  <si>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</si>
  <si>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</si>
  <si>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</si>
  <si>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</si>
  <si>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</si>
  <si>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</si>
  <si>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</si>
  <si>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</si>
  <si>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</si>
  <si>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</si>
  <si>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</si>
  <si>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</si>
  <si>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</si>
  <si>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</si>
  <si>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</si>
  <si>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</si>
  <si>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</si>
  <si>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</si>
  <si>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</si>
  <si>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</si>
  <si>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</si>
  <si>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</si>
  <si>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</si>
  <si>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</si>
  <si>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</si>
  <si>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</si>
  <si>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</si>
  <si>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</si>
  <si>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</si>
  <si>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</si>
  <si>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</si>
  <si>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</si>
  <si>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</si>
  <si>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Net profit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</si>
  <si>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</si>
  <si>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</si>
  <si>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</si>
  <si>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</si>
  <si>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</si>
  <si>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</si>
  <si>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</si>
  <si>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</si>
  <si>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</si>
  <si>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</si>
  <si>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</si>
  <si>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</si>
  <si>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</si>
  <si>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</si>
  <si>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</si>
  <si>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</si>
  <si>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</si>
  <si>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</si>
  <si>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</si>
  <si>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</si>
  <si>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</si>
  <si>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</si>
  <si>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</si>
  <si>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</si>
  <si>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</si>
  <si>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</si>
  <si>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</si>
  <si>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</si>
  <si>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</si>
  <si>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</si>
  <si>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</si>
  <si>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</si>
  <si>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</si>
  <si>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</si>
  <si>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</si>
  <si>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</si>
  <si>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</si>
  <si>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</si>
  <si>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</si>
  <si>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</si>
  <si>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</si>
  <si>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</si>
  <si>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Net borrowing</t>
  </si>
  <si>
    <t xml:space="preserve">Market closing price </t>
  </si>
  <si>
    <t>Growth Rates</t>
  </si>
  <si>
    <t>Gross profit</t>
  </si>
  <si>
    <t>Sales</t>
  </si>
  <si>
    <t>Operating expense</t>
  </si>
  <si>
    <t>Margins as % of net sales</t>
  </si>
  <si>
    <t>COGS</t>
  </si>
  <si>
    <t xml:space="preserve">Gross profit </t>
  </si>
  <si>
    <t xml:space="preserve">Additional items </t>
  </si>
  <si>
    <t>Common stock and additional paid in capital, $0.01 par value: 5000,000,000 shares authorized; 507,000,000 and 484,000,000 shares issued and outstanding, respectively</t>
  </si>
  <si>
    <t>Proceeds from property and equipment sales and incentives</t>
  </si>
  <si>
    <t xml:space="preserve">Repayments of long term debt </t>
  </si>
  <si>
    <t>Proceeds from long term debt and other, net</t>
  </si>
  <si>
    <t>Principle repayements of finance leases</t>
  </si>
  <si>
    <t>Principle repayements of financing obligation</t>
  </si>
  <si>
    <t>Foreign currency effect on cash cash equivalent and restricted cash</t>
  </si>
  <si>
    <t>Years ended 31st December,</t>
  </si>
  <si>
    <t xml:space="preserve"> Amazon.</t>
  </si>
  <si>
    <t>Amazon</t>
  </si>
  <si>
    <t xml:space="preserve">Operating expense </t>
  </si>
  <si>
    <t xml:space="preserve">Income tax rate </t>
  </si>
  <si>
    <t>Capex as % of sales</t>
  </si>
  <si>
    <t>Capex as % of fixed asset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</si>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</sst>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"/>
    <numFmt numFmtId="168" formatCode="_(* #,##0.000_);_(* \(#,##0.000\);_(* &quot;-&quot;??_);_(@_)"/>
    <numFmt numFmtId="169" formatCode="_(* #,##0.0000_);_(* \(#,##0.0000\);_(* &quot;-&quot;??_);_(@_)"/>
    <numFmt numFmtId="170" formatCode="_(* #,##0.00000_);_(* \(#,##0.00000\);_(* &quot;-&quot;??_);_(@_)"/>
    <numFmt numFmtId="171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164" fontId="0" fillId="0" borderId="0" xfId="1" applyFont="1"/>
    <xf numFmtId="2" fontId="0" fillId="0" borderId="0" xfId="0" applyNumberFormat="1"/>
    <xf numFmtId="43" fontId="0" fillId="0" borderId="0" xfId="0" applyNumberFormat="1"/>
    <xf numFmtId="164" fontId="0" fillId="0" borderId="0" xfId="0" applyNumberFormat="1"/>
    <xf numFmtId="10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1" xfId="0" applyFont="1" applyBorder="1"/>
    <xf numFmtId="165" fontId="1" fillId="0" borderId="1" xfId="1" applyNumberFormat="1" applyFont="1" applyBorder="1"/>
    <xf numFmtId="164" fontId="0" fillId="0" borderId="0" xfId="1" applyNumberFormat="1" applyFont="1"/>
    <xf numFmtId="168" fontId="0" fillId="0" borderId="0" xfId="1" applyNumberFormat="1" applyFont="1"/>
    <xf numFmtId="169" fontId="0" fillId="0" borderId="0" xfId="1" applyNumberFormat="1" applyFont="1"/>
    <xf numFmtId="170" fontId="0" fillId="0" borderId="0" xfId="1" applyNumberFormat="1" applyFont="1"/>
    <xf numFmtId="171" fontId="0" fillId="0" borderId="0" xfId="3" applyNumberFormat="1" applyFont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6" fillId="0" borderId="0" xfId="2" applyAlignment="1">
      <alignment horizontal="left" wrapText="1" indent="1"/>
    </xf>
    <xf numFmtId="0" fontId="2" fillId="0" borderId="0" xfId="0" applyFont="1" applyAlignment="1">
      <alignment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abSelected="1" workbookViewId="0">
      <selection activeCell="D27" sqref="D27"/>
    </sheetView>
  </sheetViews>
  <sheetFormatPr defaultRowHeight="14.4" x14ac:dyDescent="0.3"/>
  <cols>
    <col min="1" max="1" width="113.21875" customWidth="1"/>
  </cols>
  <sheetData>
    <row r="1" spans="1:1" ht="23.4" x14ac:dyDescent="0.45">
      <c r="A1" s="37" t="s">
        <v>79</v>
      </c>
    </row>
    <row r="2" spans="1:1" x14ac:dyDescent="0.3">
      <c r="A2" s="38"/>
    </row>
    <row r="3" spans="1:1" ht="28.8" x14ac:dyDescent="0.3">
      <c r="A3" s="38" t="s">
        <v>147</v>
      </c>
    </row>
    <row r="4" spans="1:1" x14ac:dyDescent="0.3">
      <c r="A4" s="39" t="s">
        <v>148</v>
      </c>
    </row>
    <row r="5" spans="1:1" x14ac:dyDescent="0.3">
      <c r="A5" s="40" t="s">
        <v>149</v>
      </c>
    </row>
    <row r="6" spans="1:1" x14ac:dyDescent="0.3">
      <c r="A6" s="38"/>
    </row>
    <row r="7" spans="1:1" x14ac:dyDescent="0.3">
      <c r="A7" s="38" t="s">
        <v>150</v>
      </c>
    </row>
    <row r="8" spans="1:1" x14ac:dyDescent="0.3">
      <c r="A8" s="38" t="s">
        <v>151</v>
      </c>
    </row>
    <row r="9" spans="1:1" ht="28.8" x14ac:dyDescent="0.3">
      <c r="A9" s="38" t="s">
        <v>152</v>
      </c>
    </row>
    <row r="10" spans="1:1" x14ac:dyDescent="0.3">
      <c r="A10" s="38" t="s">
        <v>153</v>
      </c>
    </row>
    <row r="11" spans="1:1" x14ac:dyDescent="0.3">
      <c r="A11" s="38" t="s">
        <v>154</v>
      </c>
    </row>
    <row r="12" spans="1:1" x14ac:dyDescent="0.3">
      <c r="A12" s="38"/>
    </row>
    <row r="13" spans="1:1" x14ac:dyDescent="0.3">
      <c r="A13" s="41" t="s">
        <v>155</v>
      </c>
    </row>
    <row r="14" spans="1:1" x14ac:dyDescent="0.3">
      <c r="A14" s="38" t="s">
        <v>156</v>
      </c>
    </row>
    <row r="15" spans="1:1" x14ac:dyDescent="0.3">
      <c r="A15" s="38" t="s">
        <v>157</v>
      </c>
    </row>
    <row r="16" spans="1:1" x14ac:dyDescent="0.3">
      <c r="A16" s="38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6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6"/>
    </row>
    <row r="27" spans="1:1" x14ac:dyDescent="0.3">
      <c r="A27" s="15"/>
    </row>
    <row r="29" spans="1:1" x14ac:dyDescent="0.3">
      <c r="A29" s="6"/>
    </row>
  </sheetData>
  <hyperlinks>
    <hyperlink ref="A5" r:id="rId1" xr:uid="{44948979-B502-4041-A47D-3BB115F9538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5"/>
  <sheetViews>
    <sheetView workbookViewId="0">
      <selection activeCell="B59" sqref="B59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5" t="s">
        <v>142</v>
      </c>
      <c r="B1" s="4" t="s">
        <v>1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9" t="s">
        <v>0</v>
      </c>
      <c r="B2" s="29"/>
      <c r="C2" s="29"/>
      <c r="D2" s="29"/>
    </row>
    <row r="3" spans="1:10" x14ac:dyDescent="0.3">
      <c r="B3" s="28" t="s">
        <v>140</v>
      </c>
      <c r="C3" s="28"/>
      <c r="D3" s="28"/>
    </row>
    <row r="4" spans="1:10" x14ac:dyDescent="0.3">
      <c r="B4" s="6">
        <v>2017</v>
      </c>
      <c r="C4" s="6">
        <v>2018</v>
      </c>
      <c r="D4" s="6">
        <v>2019</v>
      </c>
    </row>
    <row r="5" spans="1:10" x14ac:dyDescent="0.3">
      <c r="A5" t="s">
        <v>2</v>
      </c>
    </row>
    <row r="6" spans="1:10" x14ac:dyDescent="0.3">
      <c r="A6" s="1" t="s">
        <v>3</v>
      </c>
      <c r="B6" s="11">
        <v>118573</v>
      </c>
      <c r="C6" s="11">
        <v>141915</v>
      </c>
      <c r="D6" s="11">
        <v>160408</v>
      </c>
    </row>
    <row r="7" spans="1:10" x14ac:dyDescent="0.3">
      <c r="A7" s="1" t="s">
        <v>4</v>
      </c>
      <c r="B7" s="11">
        <v>59293</v>
      </c>
      <c r="C7" s="11">
        <v>90972</v>
      </c>
      <c r="D7" s="11">
        <v>120114</v>
      </c>
    </row>
    <row r="8" spans="1:10" x14ac:dyDescent="0.3">
      <c r="A8" s="7" t="s">
        <v>5</v>
      </c>
      <c r="B8" s="12">
        <f>+B6+B7</f>
        <v>177866</v>
      </c>
      <c r="C8" s="12">
        <f t="shared" ref="C8:D8" si="0">+C6+C7</f>
        <v>232887</v>
      </c>
      <c r="D8" s="12">
        <f t="shared" si="0"/>
        <v>280522</v>
      </c>
    </row>
    <row r="9" spans="1:10" x14ac:dyDescent="0.3">
      <c r="A9" t="s">
        <v>6</v>
      </c>
      <c r="B9" s="11"/>
      <c r="C9" s="11"/>
      <c r="D9" s="11"/>
    </row>
    <row r="10" spans="1:10" x14ac:dyDescent="0.3">
      <c r="A10" s="1" t="s">
        <v>3</v>
      </c>
      <c r="B10" s="11">
        <v>111934</v>
      </c>
      <c r="C10" s="11">
        <v>139156</v>
      </c>
      <c r="D10" s="11">
        <v>165536</v>
      </c>
    </row>
    <row r="11" spans="1:10" x14ac:dyDescent="0.3">
      <c r="A11" s="1" t="s">
        <v>4</v>
      </c>
      <c r="B11" s="11">
        <v>0</v>
      </c>
      <c r="C11" s="11">
        <v>0</v>
      </c>
      <c r="D11" s="11"/>
    </row>
    <row r="12" spans="1:10" x14ac:dyDescent="0.3">
      <c r="A12" s="7" t="s">
        <v>7</v>
      </c>
      <c r="B12" s="12">
        <f>+B10+B11</f>
        <v>111934</v>
      </c>
      <c r="C12" s="12">
        <f t="shared" ref="C12:D12" si="1">+C10+C11</f>
        <v>139156</v>
      </c>
      <c r="D12" s="12">
        <f t="shared" si="1"/>
        <v>165536</v>
      </c>
    </row>
    <row r="13" spans="1:10" x14ac:dyDescent="0.3">
      <c r="A13" s="7" t="s">
        <v>8</v>
      </c>
      <c r="B13" s="12">
        <f>+B8-B12</f>
        <v>65932</v>
      </c>
      <c r="C13" s="12">
        <f t="shared" ref="C13:D13" si="2">+C8-C12</f>
        <v>93731</v>
      </c>
      <c r="D13" s="12">
        <f t="shared" si="2"/>
        <v>114986</v>
      </c>
    </row>
    <row r="14" spans="1:10" x14ac:dyDescent="0.3">
      <c r="A14" t="s">
        <v>9</v>
      </c>
      <c r="B14" s="11"/>
      <c r="C14" s="11"/>
      <c r="D14" s="11"/>
    </row>
    <row r="15" spans="1:10" x14ac:dyDescent="0.3">
      <c r="A15" s="1" t="s">
        <v>10</v>
      </c>
      <c r="B15" s="11">
        <v>0</v>
      </c>
      <c r="C15" s="11">
        <v>0</v>
      </c>
      <c r="D15" s="11">
        <v>0</v>
      </c>
    </row>
    <row r="16" spans="1:10" x14ac:dyDescent="0.3">
      <c r="A16" s="1" t="s">
        <v>11</v>
      </c>
      <c r="B16" s="11">
        <f>214+3674+10069+22620+25249</f>
        <v>61826</v>
      </c>
      <c r="C16" s="11">
        <f>296+4336+13814+28837+34027</f>
        <v>81310</v>
      </c>
      <c r="D16" s="11">
        <f>201+5203+18878+35931+40232</f>
        <v>100445</v>
      </c>
    </row>
    <row r="17" spans="1:4" x14ac:dyDescent="0.3">
      <c r="A17" s="7" t="s">
        <v>12</v>
      </c>
      <c r="B17" s="12">
        <f>B12+B16</f>
        <v>173760</v>
      </c>
      <c r="C17" s="12">
        <f t="shared" ref="C17:D17" si="3">C12+C16</f>
        <v>220466</v>
      </c>
      <c r="D17" s="12">
        <f t="shared" si="3"/>
        <v>265981</v>
      </c>
    </row>
    <row r="18" spans="1:4" s="6" customFormat="1" x14ac:dyDescent="0.3">
      <c r="A18" s="7" t="s">
        <v>13</v>
      </c>
      <c r="B18" s="12">
        <f>+B8-B17</f>
        <v>4106</v>
      </c>
      <c r="C18" s="12">
        <f t="shared" ref="C18:D18" si="4">+C8-C17</f>
        <v>12421</v>
      </c>
      <c r="D18" s="12">
        <f t="shared" si="4"/>
        <v>14541</v>
      </c>
    </row>
    <row r="19" spans="1:4" x14ac:dyDescent="0.3">
      <c r="A19" t="s">
        <v>14</v>
      </c>
      <c r="B19" s="11">
        <f>202-848+346</f>
        <v>-300</v>
      </c>
      <c r="C19" s="11">
        <f>440-1417-183</f>
        <v>-1160</v>
      </c>
      <c r="D19" s="11">
        <f>832-1600+203</f>
        <v>-565</v>
      </c>
    </row>
    <row r="20" spans="1:4" x14ac:dyDescent="0.3">
      <c r="A20" s="7" t="s">
        <v>15</v>
      </c>
      <c r="B20" s="12">
        <f>+B18+B19</f>
        <v>3806</v>
      </c>
      <c r="C20" s="12">
        <f t="shared" ref="C20:D20" si="5">+C18+C19</f>
        <v>11261</v>
      </c>
      <c r="D20" s="12">
        <f t="shared" si="5"/>
        <v>13976</v>
      </c>
    </row>
    <row r="21" spans="1:4" x14ac:dyDescent="0.3">
      <c r="A21" t="s">
        <v>16</v>
      </c>
      <c r="B21" s="11">
        <f>-(769+4)</f>
        <v>-773</v>
      </c>
      <c r="C21" s="11">
        <f>-1197+9</f>
        <v>-1188</v>
      </c>
      <c r="D21" s="11">
        <f>-2374-14</f>
        <v>-2388</v>
      </c>
    </row>
    <row r="22" spans="1:4" ht="15" thickBot="1" x14ac:dyDescent="0.35">
      <c r="A22" s="8" t="s">
        <v>17</v>
      </c>
      <c r="B22" s="13">
        <f>+B20+B21</f>
        <v>3033</v>
      </c>
      <c r="C22" s="13">
        <f t="shared" ref="C22:D22" si="6">+C20+C21</f>
        <v>10073</v>
      </c>
      <c r="D22" s="13">
        <f t="shared" si="6"/>
        <v>11588</v>
      </c>
    </row>
    <row r="23" spans="1:4" ht="15" thickTop="1" x14ac:dyDescent="0.3">
      <c r="A23" t="s">
        <v>18</v>
      </c>
    </row>
    <row r="24" spans="1:4" x14ac:dyDescent="0.3">
      <c r="A24" s="1" t="s">
        <v>19</v>
      </c>
      <c r="B24" s="9">
        <v>6.32</v>
      </c>
      <c r="C24" s="9">
        <v>20.68</v>
      </c>
      <c r="D24" s="9">
        <v>23.46</v>
      </c>
    </row>
    <row r="25" spans="1:4" x14ac:dyDescent="0.3">
      <c r="A25" s="1" t="s">
        <v>20</v>
      </c>
      <c r="B25" s="9">
        <v>6.15</v>
      </c>
      <c r="C25" s="9">
        <v>20.14</v>
      </c>
      <c r="D25" s="9">
        <v>23.01</v>
      </c>
    </row>
    <row r="26" spans="1:4" x14ac:dyDescent="0.3">
      <c r="A26" t="s">
        <v>21</v>
      </c>
    </row>
    <row r="27" spans="1:4" x14ac:dyDescent="0.3">
      <c r="A27" s="1" t="s">
        <v>19</v>
      </c>
      <c r="B27" s="2">
        <v>480000000</v>
      </c>
      <c r="C27" s="2">
        <v>487000000</v>
      </c>
      <c r="D27" s="2">
        <v>494000000</v>
      </c>
    </row>
    <row r="28" spans="1:4" x14ac:dyDescent="0.3">
      <c r="A28" s="1" t="s">
        <v>20</v>
      </c>
      <c r="B28" s="2">
        <v>493000000</v>
      </c>
      <c r="C28" s="2">
        <v>500000000</v>
      </c>
      <c r="D28" s="2">
        <v>504000000</v>
      </c>
    </row>
    <row r="31" spans="1:4" x14ac:dyDescent="0.3">
      <c r="A31" s="29" t="s">
        <v>22</v>
      </c>
      <c r="B31" s="29"/>
      <c r="C31" s="29"/>
      <c r="D31" s="29"/>
    </row>
    <row r="32" spans="1:4" x14ac:dyDescent="0.3">
      <c r="B32" s="28" t="s">
        <v>140</v>
      </c>
      <c r="C32" s="28"/>
      <c r="D32" s="28"/>
    </row>
    <row r="33" spans="1:4" x14ac:dyDescent="0.3">
      <c r="B33" s="6">
        <f>+B4</f>
        <v>2017</v>
      </c>
      <c r="C33" s="6">
        <f t="shared" ref="C33:D33" si="7">+C4</f>
        <v>2018</v>
      </c>
      <c r="D33" s="6">
        <f t="shared" si="7"/>
        <v>2019</v>
      </c>
    </row>
    <row r="35" spans="1:4" x14ac:dyDescent="0.3">
      <c r="A35" t="s">
        <v>23</v>
      </c>
    </row>
    <row r="36" spans="1:4" x14ac:dyDescent="0.3">
      <c r="A36" s="1" t="s">
        <v>24</v>
      </c>
      <c r="B36" s="11">
        <v>20522</v>
      </c>
      <c r="C36" s="11">
        <v>31750</v>
      </c>
      <c r="D36" s="11">
        <v>36092</v>
      </c>
    </row>
    <row r="37" spans="1:4" x14ac:dyDescent="0.3">
      <c r="A37" s="1" t="s">
        <v>25</v>
      </c>
      <c r="B37" s="11">
        <v>10464</v>
      </c>
      <c r="C37" s="11">
        <v>9500</v>
      </c>
      <c r="D37" s="11">
        <v>18929</v>
      </c>
    </row>
    <row r="38" spans="1:4" x14ac:dyDescent="0.3">
      <c r="A38" s="1" t="s">
        <v>26</v>
      </c>
      <c r="B38" s="11">
        <v>13164</v>
      </c>
      <c r="C38" s="11">
        <v>16677</v>
      </c>
      <c r="D38" s="11">
        <v>20816</v>
      </c>
    </row>
    <row r="39" spans="1:4" x14ac:dyDescent="0.3">
      <c r="A39" s="1" t="s">
        <v>27</v>
      </c>
      <c r="B39" s="11">
        <v>16047</v>
      </c>
      <c r="C39" s="11">
        <v>17174</v>
      </c>
      <c r="D39" s="11">
        <v>20497</v>
      </c>
    </row>
    <row r="40" spans="1:4" x14ac:dyDescent="0.3">
      <c r="A40" s="1" t="s">
        <v>45</v>
      </c>
      <c r="B40" s="11">
        <v>0</v>
      </c>
      <c r="C40" s="11">
        <v>0</v>
      </c>
      <c r="D40" s="11">
        <v>0</v>
      </c>
    </row>
    <row r="41" spans="1:4" x14ac:dyDescent="0.3">
      <c r="A41" s="1" t="s">
        <v>28</v>
      </c>
      <c r="B41" s="11">
        <v>0</v>
      </c>
      <c r="C41" s="11">
        <v>0</v>
      </c>
      <c r="D41" s="11">
        <v>0</v>
      </c>
    </row>
    <row r="42" spans="1:4" x14ac:dyDescent="0.3">
      <c r="A42" s="7" t="s">
        <v>29</v>
      </c>
      <c r="B42" s="12">
        <f>+SUM(B36:B41)</f>
        <v>60197</v>
      </c>
      <c r="C42" s="12">
        <f t="shared" ref="C42:D42" si="8">+SUM(C36:C41)</f>
        <v>75101</v>
      </c>
      <c r="D42" s="12">
        <f t="shared" si="8"/>
        <v>96334</v>
      </c>
    </row>
    <row r="43" spans="1:4" x14ac:dyDescent="0.3">
      <c r="A43" t="s">
        <v>46</v>
      </c>
      <c r="B43" s="11"/>
      <c r="C43" s="11"/>
      <c r="D43" s="11"/>
    </row>
    <row r="44" spans="1:4" x14ac:dyDescent="0.3">
      <c r="A44" s="1" t="s">
        <v>25</v>
      </c>
      <c r="B44" s="11">
        <v>0</v>
      </c>
      <c r="C44" s="11">
        <v>0</v>
      </c>
      <c r="D44" s="11">
        <v>0</v>
      </c>
    </row>
    <row r="45" spans="1:4" x14ac:dyDescent="0.3">
      <c r="A45" s="1" t="s">
        <v>30</v>
      </c>
      <c r="B45" s="11">
        <v>48866</v>
      </c>
      <c r="C45" s="11">
        <v>61797</v>
      </c>
      <c r="D45" s="11">
        <v>72705</v>
      </c>
    </row>
    <row r="46" spans="1:4" x14ac:dyDescent="0.3">
      <c r="A46" s="1" t="s">
        <v>47</v>
      </c>
      <c r="B46" s="11">
        <f>13350+8897</f>
        <v>22247</v>
      </c>
      <c r="C46" s="11">
        <f>11202+14548</f>
        <v>25750</v>
      </c>
      <c r="D46" s="11">
        <f>25141+14754+16314</f>
        <v>56209</v>
      </c>
    </row>
    <row r="47" spans="1:4" x14ac:dyDescent="0.3">
      <c r="A47" s="7" t="s">
        <v>48</v>
      </c>
      <c r="B47" s="12">
        <f>+SUM(B44:B46)</f>
        <v>71113</v>
      </c>
      <c r="C47" s="12">
        <f t="shared" ref="C47:D47" si="9">+SUM(C44:C46)</f>
        <v>87547</v>
      </c>
      <c r="D47" s="12">
        <f t="shared" si="9"/>
        <v>128914</v>
      </c>
    </row>
    <row r="48" spans="1:4" ht="15" thickBot="1" x14ac:dyDescent="0.35">
      <c r="A48" s="8" t="s">
        <v>31</v>
      </c>
      <c r="B48" s="13">
        <f>+B42+B47</f>
        <v>131310</v>
      </c>
      <c r="C48" s="13">
        <f t="shared" ref="C48:D48" si="10">+C42+C47</f>
        <v>162648</v>
      </c>
      <c r="D48" s="13">
        <f t="shared" si="10"/>
        <v>225248</v>
      </c>
    </row>
    <row r="49" spans="1:4" ht="15" thickTop="1" x14ac:dyDescent="0.3"/>
    <row r="50" spans="1:4" x14ac:dyDescent="0.3">
      <c r="A50" t="s">
        <v>32</v>
      </c>
    </row>
    <row r="51" spans="1:4" x14ac:dyDescent="0.3">
      <c r="A51" s="1" t="s">
        <v>33</v>
      </c>
      <c r="B51" s="11">
        <v>34616</v>
      </c>
      <c r="C51" s="11">
        <v>38192</v>
      </c>
      <c r="D51" s="11">
        <v>47183</v>
      </c>
    </row>
    <row r="52" spans="1:4" x14ac:dyDescent="0.3">
      <c r="A52" s="1" t="s">
        <v>34</v>
      </c>
      <c r="B52" s="11">
        <f>18170</f>
        <v>18170</v>
      </c>
      <c r="C52" s="11">
        <v>23663</v>
      </c>
      <c r="D52" s="11">
        <v>32439</v>
      </c>
    </row>
    <row r="53" spans="1:4" x14ac:dyDescent="0.3">
      <c r="A53" s="1" t="s">
        <v>35</v>
      </c>
      <c r="B53" s="11">
        <v>5097</v>
      </c>
      <c r="C53" s="11">
        <v>6536</v>
      </c>
      <c r="D53" s="11">
        <v>8190</v>
      </c>
    </row>
    <row r="54" spans="1:4" x14ac:dyDescent="0.3">
      <c r="A54" s="1" t="s">
        <v>36</v>
      </c>
      <c r="B54" s="11">
        <v>0</v>
      </c>
      <c r="C54" s="11">
        <v>0</v>
      </c>
      <c r="D54" s="11">
        <v>0</v>
      </c>
    </row>
    <row r="55" spans="1:4" x14ac:dyDescent="0.3">
      <c r="A55" s="1" t="s">
        <v>37</v>
      </c>
      <c r="B55" s="11">
        <v>0</v>
      </c>
      <c r="C55" s="11">
        <v>0</v>
      </c>
      <c r="D55" s="11">
        <v>0</v>
      </c>
    </row>
    <row r="56" spans="1:4" x14ac:dyDescent="0.3">
      <c r="A56" s="7" t="s">
        <v>38</v>
      </c>
      <c r="B56" s="12">
        <f>+SUM(B51:B55)</f>
        <v>57883</v>
      </c>
      <c r="C56" s="12">
        <f t="shared" ref="C56:D56" si="11">+SUM(C51:C55)</f>
        <v>68391</v>
      </c>
      <c r="D56" s="12">
        <f t="shared" si="11"/>
        <v>87812</v>
      </c>
    </row>
    <row r="57" spans="1:4" x14ac:dyDescent="0.3">
      <c r="A57" t="s">
        <v>49</v>
      </c>
      <c r="B57" s="11"/>
      <c r="C57" s="11"/>
      <c r="D57" s="11"/>
    </row>
    <row r="58" spans="1:4" x14ac:dyDescent="0.3">
      <c r="A58" s="1" t="s">
        <v>35</v>
      </c>
      <c r="B58" s="11"/>
      <c r="C58" s="11"/>
      <c r="D58" s="11"/>
    </row>
    <row r="59" spans="1:4" x14ac:dyDescent="0.3">
      <c r="A59" s="1" t="s">
        <v>37</v>
      </c>
      <c r="B59" s="11">
        <v>24743</v>
      </c>
      <c r="C59" s="11">
        <v>23495</v>
      </c>
      <c r="D59" s="11">
        <v>23414</v>
      </c>
    </row>
    <row r="60" spans="1:4" x14ac:dyDescent="0.3">
      <c r="A60" s="1" t="s">
        <v>50</v>
      </c>
      <c r="B60" s="11">
        <v>20975</v>
      </c>
      <c r="C60" s="11">
        <v>27213</v>
      </c>
      <c r="D60" s="11">
        <f>39791+12171</f>
        <v>51962</v>
      </c>
    </row>
    <row r="61" spans="1:4" x14ac:dyDescent="0.3">
      <c r="A61" s="21" t="s">
        <v>51</v>
      </c>
      <c r="B61" s="20">
        <f>+B59+B60</f>
        <v>45718</v>
      </c>
      <c r="C61" s="20">
        <f>+C59+C60</f>
        <v>50708</v>
      </c>
      <c r="D61" s="20">
        <f t="shared" ref="D61" si="12">+D59+D60</f>
        <v>75376</v>
      </c>
    </row>
    <row r="62" spans="1:4" x14ac:dyDescent="0.3">
      <c r="A62" s="7" t="s">
        <v>39</v>
      </c>
      <c r="B62" s="12">
        <f>+B56+B61</f>
        <v>103601</v>
      </c>
      <c r="C62" s="12">
        <f t="shared" ref="C62:D62" si="13">+C56+C61</f>
        <v>119099</v>
      </c>
      <c r="D62" s="12">
        <f t="shared" si="13"/>
        <v>163188</v>
      </c>
    </row>
    <row r="63" spans="1:4" x14ac:dyDescent="0.3">
      <c r="B63" s="11"/>
      <c r="C63" s="11"/>
      <c r="D63" s="11"/>
    </row>
    <row r="64" spans="1:4" x14ac:dyDescent="0.3">
      <c r="A64" t="s">
        <v>40</v>
      </c>
      <c r="B64" s="11"/>
      <c r="C64" s="11"/>
      <c r="D64" s="11"/>
    </row>
    <row r="65" spans="1:4" x14ac:dyDescent="0.3">
      <c r="A65" s="1" t="s">
        <v>133</v>
      </c>
      <c r="B65" s="11">
        <f>21389+(-1837)+5</f>
        <v>19557</v>
      </c>
      <c r="C65" s="11">
        <f>26791+(-1837)+5</f>
        <v>24959</v>
      </c>
      <c r="D65" s="11">
        <f>33658+(-1837)+5</f>
        <v>31826</v>
      </c>
    </row>
    <row r="66" spans="1:4" x14ac:dyDescent="0.3">
      <c r="A66" s="1" t="s">
        <v>41</v>
      </c>
      <c r="B66" s="11">
        <v>8636</v>
      </c>
      <c r="C66" s="11">
        <v>19625</v>
      </c>
      <c r="D66" s="11">
        <v>31220</v>
      </c>
    </row>
    <row r="67" spans="1:4" x14ac:dyDescent="0.3">
      <c r="A67" s="1" t="s">
        <v>42</v>
      </c>
      <c r="B67" s="11">
        <v>-484</v>
      </c>
      <c r="C67" s="11">
        <v>-1035</v>
      </c>
      <c r="D67" s="11">
        <v>-986</v>
      </c>
    </row>
    <row r="68" spans="1:4" x14ac:dyDescent="0.3">
      <c r="A68" s="7" t="s">
        <v>43</v>
      </c>
      <c r="B68" s="12">
        <f>+SUM(B65:B67)</f>
        <v>27709</v>
      </c>
      <c r="C68" s="12">
        <f>+SUM(C65:C67)</f>
        <v>43549</v>
      </c>
      <c r="D68" s="12">
        <f t="shared" ref="D68" si="14">+SUM(D65:D67)</f>
        <v>62060</v>
      </c>
    </row>
    <row r="69" spans="1:4" ht="15" thickBot="1" x14ac:dyDescent="0.35">
      <c r="A69" s="8" t="s">
        <v>44</v>
      </c>
      <c r="B69" s="13">
        <f>+B68+B62</f>
        <v>131310</v>
      </c>
      <c r="C69" s="13">
        <f t="shared" ref="C69:D69" si="15">+C68+C62</f>
        <v>162648</v>
      </c>
      <c r="D69" s="13">
        <f t="shared" si="15"/>
        <v>225248</v>
      </c>
    </row>
    <row r="70" spans="1:4" ht="15" thickTop="1" x14ac:dyDescent="0.3"/>
    <row r="71" spans="1:4" x14ac:dyDescent="0.3">
      <c r="A71" s="29" t="s">
        <v>52</v>
      </c>
      <c r="B71" s="29"/>
      <c r="C71" s="29"/>
      <c r="D71" s="29"/>
    </row>
    <row r="72" spans="1:4" x14ac:dyDescent="0.3">
      <c r="B72" s="28" t="s">
        <v>140</v>
      </c>
      <c r="C72" s="28"/>
      <c r="D72" s="28"/>
    </row>
    <row r="73" spans="1:4" x14ac:dyDescent="0.3">
      <c r="B73" s="6">
        <f>+B33</f>
        <v>2017</v>
      </c>
      <c r="C73" s="6">
        <f t="shared" ref="C73:D73" si="16">+C33</f>
        <v>2018</v>
      </c>
      <c r="D73" s="6">
        <f t="shared" si="16"/>
        <v>2019</v>
      </c>
    </row>
    <row r="75" spans="1:4" x14ac:dyDescent="0.3">
      <c r="A75" s="6" t="s">
        <v>53</v>
      </c>
      <c r="B75" s="14"/>
      <c r="C75" s="14"/>
      <c r="D75" s="14"/>
    </row>
    <row r="76" spans="1:4" x14ac:dyDescent="0.3">
      <c r="A76" t="s">
        <v>54</v>
      </c>
      <c r="B76" s="11">
        <f>+B22</f>
        <v>3033</v>
      </c>
      <c r="C76" s="11">
        <f t="shared" ref="C76:D76" si="17">+C22</f>
        <v>10073</v>
      </c>
      <c r="D76" s="11">
        <f t="shared" si="17"/>
        <v>11588</v>
      </c>
    </row>
    <row r="77" spans="1:4" x14ac:dyDescent="0.3">
      <c r="A77" s="10" t="s">
        <v>17</v>
      </c>
      <c r="B77" s="14"/>
      <c r="C77" s="14"/>
      <c r="D77" s="14"/>
    </row>
    <row r="78" spans="1:4" x14ac:dyDescent="0.3">
      <c r="A78" s="1" t="s">
        <v>55</v>
      </c>
      <c r="B78" s="11"/>
      <c r="C78" s="11"/>
      <c r="D78" s="11"/>
    </row>
    <row r="79" spans="1:4" x14ac:dyDescent="0.3">
      <c r="A79" s="3" t="s">
        <v>56</v>
      </c>
      <c r="B79" s="11">
        <v>11478</v>
      </c>
      <c r="C79" s="11">
        <v>15341</v>
      </c>
      <c r="D79" s="11">
        <v>21789</v>
      </c>
    </row>
    <row r="80" spans="1:4" x14ac:dyDescent="0.3">
      <c r="A80" s="3" t="s">
        <v>75</v>
      </c>
      <c r="B80" s="11">
        <v>4215</v>
      </c>
      <c r="C80" s="11">
        <v>5418</v>
      </c>
      <c r="D80" s="11">
        <v>6864</v>
      </c>
    </row>
    <row r="81" spans="1:4" x14ac:dyDescent="0.3">
      <c r="A81" s="3" t="s">
        <v>57</v>
      </c>
      <c r="B81" s="11">
        <v>-29</v>
      </c>
      <c r="C81" s="11">
        <v>441</v>
      </c>
      <c r="D81" s="11">
        <v>796</v>
      </c>
    </row>
    <row r="82" spans="1:4" x14ac:dyDescent="0.3">
      <c r="A82" s="3" t="s">
        <v>58</v>
      </c>
      <c r="B82" s="11">
        <f>-292+202</f>
        <v>-90</v>
      </c>
      <c r="C82" s="11">
        <f>219+274</f>
        <v>493</v>
      </c>
      <c r="D82" s="11">
        <f>-249+164</f>
        <v>-85</v>
      </c>
    </row>
    <row r="83" spans="1:4" x14ac:dyDescent="0.3">
      <c r="A83" t="s">
        <v>59</v>
      </c>
      <c r="B83" s="11"/>
      <c r="C83" s="11"/>
      <c r="D83" s="11"/>
    </row>
    <row r="84" spans="1:4" x14ac:dyDescent="0.3">
      <c r="A84" s="1" t="s">
        <v>26</v>
      </c>
      <c r="B84" s="11">
        <v>-4780</v>
      </c>
      <c r="C84" s="11">
        <v>-4615</v>
      </c>
      <c r="D84" s="11">
        <v>-7681</v>
      </c>
    </row>
    <row r="85" spans="1:4" x14ac:dyDescent="0.3">
      <c r="A85" s="1" t="s">
        <v>27</v>
      </c>
      <c r="B85" s="11">
        <v>-3583</v>
      </c>
      <c r="C85" s="11">
        <v>-1314</v>
      </c>
      <c r="D85" s="11">
        <v>-3278</v>
      </c>
    </row>
    <row r="86" spans="1:4" x14ac:dyDescent="0.3">
      <c r="A86" s="1" t="s">
        <v>45</v>
      </c>
      <c r="B86" s="11">
        <v>0</v>
      </c>
      <c r="C86" s="11">
        <v>0</v>
      </c>
      <c r="D86" s="11">
        <v>0</v>
      </c>
    </row>
    <row r="87" spans="1:4" x14ac:dyDescent="0.3">
      <c r="A87" s="1" t="s">
        <v>76</v>
      </c>
      <c r="B87" s="11">
        <v>0</v>
      </c>
      <c r="C87" s="11">
        <v>0</v>
      </c>
      <c r="D87" s="11">
        <v>0</v>
      </c>
    </row>
    <row r="88" spans="1:4" x14ac:dyDescent="0.3">
      <c r="A88" s="1" t="s">
        <v>33</v>
      </c>
      <c r="B88" s="11">
        <v>7100</v>
      </c>
      <c r="C88" s="11">
        <v>3263</v>
      </c>
      <c r="D88" s="11">
        <v>8193</v>
      </c>
    </row>
    <row r="89" spans="1:4" x14ac:dyDescent="0.3">
      <c r="A89" s="1" t="s">
        <v>35</v>
      </c>
      <c r="B89" s="11">
        <v>738</v>
      </c>
      <c r="C89" s="11">
        <v>1151</v>
      </c>
      <c r="D89" s="11">
        <v>1711</v>
      </c>
    </row>
    <row r="90" spans="1:4" x14ac:dyDescent="0.3">
      <c r="A90" s="1" t="s">
        <v>77</v>
      </c>
      <c r="B90" s="11">
        <v>283</v>
      </c>
      <c r="C90" s="11">
        <v>472</v>
      </c>
      <c r="D90" s="11">
        <v>-1383</v>
      </c>
    </row>
    <row r="91" spans="1:4" x14ac:dyDescent="0.3">
      <c r="A91" s="7" t="s">
        <v>60</v>
      </c>
      <c r="B91" s="12">
        <f>+SUM(B76:B90)</f>
        <v>18365</v>
      </c>
      <c r="C91" s="12">
        <f t="shared" ref="C91:D91" si="18">+SUM(C76:C90)</f>
        <v>30723</v>
      </c>
      <c r="D91" s="12">
        <f t="shared" si="18"/>
        <v>38514</v>
      </c>
    </row>
    <row r="92" spans="1:4" x14ac:dyDescent="0.3">
      <c r="A92" s="6" t="s">
        <v>61</v>
      </c>
      <c r="B92" s="11"/>
      <c r="C92" s="11"/>
      <c r="D92" s="11"/>
    </row>
    <row r="93" spans="1:4" x14ac:dyDescent="0.3">
      <c r="A93" s="1" t="s">
        <v>62</v>
      </c>
      <c r="B93" s="11">
        <v>-12731</v>
      </c>
      <c r="C93" s="11">
        <v>-7100</v>
      </c>
      <c r="D93" s="11">
        <v>-31812</v>
      </c>
    </row>
    <row r="94" spans="1:4" x14ac:dyDescent="0.3">
      <c r="A94" s="1" t="s">
        <v>134</v>
      </c>
      <c r="B94" s="11">
        <v>1897</v>
      </c>
      <c r="C94" s="11">
        <v>2104</v>
      </c>
      <c r="D94" s="11">
        <v>4172</v>
      </c>
    </row>
    <row r="95" spans="1:4" x14ac:dyDescent="0.3">
      <c r="A95" s="1" t="s">
        <v>63</v>
      </c>
      <c r="B95" s="11">
        <v>9677</v>
      </c>
      <c r="C95" s="11">
        <v>8240</v>
      </c>
      <c r="D95" s="11">
        <v>22681</v>
      </c>
    </row>
    <row r="96" spans="1:4" x14ac:dyDescent="0.3">
      <c r="A96" s="1" t="s">
        <v>64</v>
      </c>
      <c r="B96" s="11">
        <v>-11955</v>
      </c>
      <c r="C96" s="11">
        <v>-13427</v>
      </c>
      <c r="D96" s="11">
        <v>-16861</v>
      </c>
    </row>
    <row r="97" spans="1:4" x14ac:dyDescent="0.3">
      <c r="A97" s="1" t="s">
        <v>65</v>
      </c>
      <c r="B97" s="11">
        <v>-13972</v>
      </c>
      <c r="C97" s="11">
        <v>-2186</v>
      </c>
      <c r="D97" s="11">
        <v>-2461</v>
      </c>
    </row>
    <row r="98" spans="1:4" x14ac:dyDescent="0.3">
      <c r="A98" s="1" t="s">
        <v>58</v>
      </c>
      <c r="B98" s="11">
        <v>0</v>
      </c>
      <c r="C98" s="11">
        <v>0</v>
      </c>
      <c r="D98" s="11">
        <v>0</v>
      </c>
    </row>
    <row r="99" spans="1:4" x14ac:dyDescent="0.3">
      <c r="A99" s="7" t="s">
        <v>66</v>
      </c>
      <c r="B99" s="12">
        <f>+SUM(B93:B98)</f>
        <v>-27084</v>
      </c>
      <c r="C99" s="12">
        <f t="shared" ref="C99:D99" si="19">+SUM(C93:C98)</f>
        <v>-12369</v>
      </c>
      <c r="D99" s="12">
        <f t="shared" si="19"/>
        <v>-24281</v>
      </c>
    </row>
    <row r="100" spans="1:4" x14ac:dyDescent="0.3">
      <c r="A100" s="6" t="s">
        <v>67</v>
      </c>
      <c r="B100" s="11"/>
      <c r="C100" s="11"/>
      <c r="D100" s="11"/>
    </row>
    <row r="101" spans="1:4" x14ac:dyDescent="0.3">
      <c r="A101" s="1" t="s">
        <v>78</v>
      </c>
      <c r="B101" s="11">
        <v>0</v>
      </c>
      <c r="C101" s="11">
        <v>0</v>
      </c>
      <c r="D101" s="11">
        <v>0</v>
      </c>
    </row>
    <row r="102" spans="1:4" x14ac:dyDescent="0.3">
      <c r="A102" s="1" t="s">
        <v>68</v>
      </c>
      <c r="B102" s="11">
        <v>0</v>
      </c>
      <c r="C102" s="11">
        <v>0</v>
      </c>
      <c r="D102" s="11">
        <v>0</v>
      </c>
    </row>
    <row r="103" spans="1:4" x14ac:dyDescent="0.3">
      <c r="A103" s="1" t="s">
        <v>138</v>
      </c>
      <c r="B103" s="11">
        <v>-200</v>
      </c>
      <c r="C103" s="11">
        <v>-337</v>
      </c>
      <c r="D103" s="11">
        <v>-27</v>
      </c>
    </row>
    <row r="104" spans="1:4" x14ac:dyDescent="0.3">
      <c r="A104" s="1" t="s">
        <v>136</v>
      </c>
      <c r="B104" s="11">
        <v>16228</v>
      </c>
      <c r="C104" s="11">
        <v>768</v>
      </c>
      <c r="D104" s="11">
        <v>2273</v>
      </c>
    </row>
    <row r="105" spans="1:4" x14ac:dyDescent="0.3">
      <c r="A105" s="1" t="s">
        <v>135</v>
      </c>
      <c r="B105" s="11">
        <v>-1301</v>
      </c>
      <c r="C105" s="11">
        <v>-668</v>
      </c>
      <c r="D105" s="11">
        <v>-2684</v>
      </c>
    </row>
    <row r="106" spans="1:4" x14ac:dyDescent="0.3">
      <c r="A106" s="1" t="s">
        <v>137</v>
      </c>
      <c r="B106" s="11">
        <v>-4799</v>
      </c>
      <c r="C106" s="11">
        <v>-7449</v>
      </c>
      <c r="D106" s="11">
        <v>-9628</v>
      </c>
    </row>
    <row r="107" spans="1:4" x14ac:dyDescent="0.3">
      <c r="A107" s="1" t="s">
        <v>58</v>
      </c>
      <c r="B107" s="11">
        <v>0</v>
      </c>
      <c r="C107" s="11">
        <v>0</v>
      </c>
      <c r="D107" s="11">
        <v>0</v>
      </c>
    </row>
    <row r="108" spans="1:4" x14ac:dyDescent="0.3">
      <c r="A108" s="7" t="s">
        <v>69</v>
      </c>
      <c r="B108" s="12">
        <f>+SUM(B101:B107)</f>
        <v>9928</v>
      </c>
      <c r="C108" s="12">
        <f>+SUM(C101:C107)</f>
        <v>-7686</v>
      </c>
      <c r="D108" s="12">
        <f>+SUM(D101:D107)</f>
        <v>-10066</v>
      </c>
    </row>
    <row r="109" spans="1:4" x14ac:dyDescent="0.3">
      <c r="A109" s="30" t="s">
        <v>139</v>
      </c>
      <c r="B109" s="31">
        <v>713</v>
      </c>
      <c r="C109" s="31">
        <v>-351</v>
      </c>
      <c r="D109" s="31">
        <v>70</v>
      </c>
    </row>
    <row r="110" spans="1:4" x14ac:dyDescent="0.3">
      <c r="A110" s="7" t="s">
        <v>70</v>
      </c>
      <c r="B110" s="12">
        <f>+B91+B99+B108+B109</f>
        <v>1922</v>
      </c>
      <c r="C110" s="12">
        <f t="shared" ref="C110:D110" si="20">+C91+C99+C108+C109</f>
        <v>10317</v>
      </c>
      <c r="D110" s="12">
        <f t="shared" si="20"/>
        <v>4237</v>
      </c>
    </row>
    <row r="111" spans="1:4" ht="15" thickBot="1" x14ac:dyDescent="0.35">
      <c r="A111" s="8" t="s">
        <v>71</v>
      </c>
      <c r="B111" s="13">
        <v>21856</v>
      </c>
      <c r="C111" s="13">
        <v>32173</v>
      </c>
      <c r="D111" s="13">
        <v>36410</v>
      </c>
    </row>
    <row r="112" spans="1:4" ht="15" thickTop="1" x14ac:dyDescent="0.3">
      <c r="B112" s="11"/>
      <c r="C112" s="11"/>
      <c r="D112" s="11"/>
    </row>
    <row r="113" spans="1:4" ht="15" thickTop="1" x14ac:dyDescent="0.3">
      <c r="A113" t="s">
        <v>72</v>
      </c>
      <c r="B113" s="11"/>
      <c r="C113" s="11"/>
      <c r="D113" s="11"/>
    </row>
    <row r="114" spans="1:4" x14ac:dyDescent="0.3">
      <c r="A114" t="s">
        <v>73</v>
      </c>
      <c r="B114" s="11">
        <v>957</v>
      </c>
      <c r="C114" s="11">
        <v>1184</v>
      </c>
      <c r="D114" s="11">
        <v>881</v>
      </c>
    </row>
    <row r="115" spans="1:4" x14ac:dyDescent="0.3">
      <c r="A115" t="s">
        <v>74</v>
      </c>
      <c r="B115" s="11">
        <f>328+200+119</f>
        <v>647</v>
      </c>
      <c r="C115" s="11">
        <f>854+381+194</f>
        <v>1429</v>
      </c>
      <c r="D115" s="11">
        <f>875+3361+647+39</f>
        <v>4922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3"/>
  <sheetViews>
    <sheetView topLeftCell="A13" workbookViewId="0">
      <selection activeCell="B41" sqref="B41"/>
    </sheetView>
  </sheetViews>
  <sheetFormatPr defaultRowHeight="14.4" x14ac:dyDescent="0.3"/>
  <cols>
    <col min="1" max="1" width="4.6640625" customWidth="1"/>
    <col min="2" max="2" width="44.88671875" customWidth="1"/>
    <col min="3" max="3" width="14.109375" customWidth="1"/>
    <col min="4" max="4" width="13.5546875" customWidth="1"/>
    <col min="5" max="5" width="12.77734375" customWidth="1"/>
  </cols>
  <sheetData>
    <row r="1" spans="1:10" ht="60" customHeight="1" x14ac:dyDescent="0.5">
      <c r="A1" s="5"/>
      <c r="B1" s="19" t="s">
        <v>141</v>
      </c>
      <c r="C1" s="18"/>
      <c r="D1" s="18"/>
      <c r="E1" s="18"/>
      <c r="F1" s="18"/>
      <c r="G1" s="18"/>
      <c r="H1" s="18"/>
      <c r="I1" s="18"/>
      <c r="J1" s="18"/>
    </row>
    <row r="2" spans="1:10" x14ac:dyDescent="0.3">
      <c r="C2" s="28" t="s">
        <v>140</v>
      </c>
      <c r="D2" s="28"/>
      <c r="E2" s="28"/>
    </row>
    <row r="3" spans="1:10" x14ac:dyDescent="0.3">
      <c r="C3" s="6">
        <f>+'Financial Statements'!B4</f>
        <v>2017</v>
      </c>
      <c r="D3" s="6">
        <f>+'Financial Statements'!C4</f>
        <v>2018</v>
      </c>
      <c r="E3" s="6">
        <f>+'Financial Statements'!D4</f>
        <v>2019</v>
      </c>
    </row>
    <row r="4" spans="1:10" x14ac:dyDescent="0.3">
      <c r="A4" s="17">
        <v>1</v>
      </c>
      <c r="B4" s="6" t="s">
        <v>81</v>
      </c>
    </row>
    <row r="5" spans="1:10" x14ac:dyDescent="0.3">
      <c r="A5" s="17">
        <f>+A4+0.1</f>
        <v>1.1000000000000001</v>
      </c>
      <c r="B5" s="1" t="s">
        <v>82</v>
      </c>
      <c r="C5" s="23">
        <f>'Financial Statements'!B42/'Financial Statements'!B56</f>
        <v>1.039977195376881</v>
      </c>
      <c r="D5" s="23">
        <f>'Financial Statements'!C42/'Financial Statements'!C56</f>
        <v>1.0981123247210891</v>
      </c>
      <c r="E5" s="23">
        <f>'Financial Statements'!D42/'Financial Statements'!D56</f>
        <v>1.0970482394205803</v>
      </c>
    </row>
    <row r="6" spans="1:10" x14ac:dyDescent="0.3">
      <c r="A6" s="17">
        <f t="shared" ref="A6:A13" si="0">+A5+0.1</f>
        <v>1.2000000000000002</v>
      </c>
      <c r="B6" s="1" t="s">
        <v>83</v>
      </c>
      <c r="C6" s="23">
        <f>('Financial Statements'!B42-'Financial Statements'!B39)/'Financial Statements'!B56</f>
        <v>0.76274553841369663</v>
      </c>
      <c r="D6" s="23">
        <f>('Financial Statements'!C42-'Financial Statements'!C39)/'Financial Statements'!C56</f>
        <v>0.84699741194016753</v>
      </c>
      <c r="E6" s="23">
        <f>('Financial Statements'!D42-'Financial Statements'!D39)/'Financial Statements'!D56</f>
        <v>0.86362911674941922</v>
      </c>
    </row>
    <row r="7" spans="1:10" x14ac:dyDescent="0.3">
      <c r="A7" s="17">
        <f t="shared" si="0"/>
        <v>1.3000000000000003</v>
      </c>
      <c r="B7" s="1" t="s">
        <v>84</v>
      </c>
      <c r="C7" s="23">
        <f>'Financial Statements'!B36/'Financial Statements'!B56</f>
        <v>0.35454278458269267</v>
      </c>
      <c r="D7" s="23">
        <f>'Financial Statements'!C36/'Financial Statements'!C56</f>
        <v>0.46424237107221711</v>
      </c>
      <c r="E7" s="23">
        <f>'Financial Statements'!D36/'Financial Statements'!D56</f>
        <v>0.41101443993987152</v>
      </c>
    </row>
    <row r="8" spans="1:10" x14ac:dyDescent="0.3">
      <c r="A8" s="17">
        <f t="shared" si="0"/>
        <v>1.4000000000000004</v>
      </c>
      <c r="B8" s="1" t="s">
        <v>85</v>
      </c>
      <c r="C8" s="23">
        <f>'Financial Statements'!B42/(('Financial Statements'!B12+'Financial Statements'!B17)/365)</f>
        <v>76.907127906081328</v>
      </c>
      <c r="D8" s="23">
        <f>'Financial Statements'!C42/(('Financial Statements'!C12+'Financial Statements'!C17)/365)</f>
        <v>76.22410475443661</v>
      </c>
      <c r="E8" s="23">
        <f>'Financial Statements'!D42/(('Financial Statements'!D12+'Financial Statements'!D17)/365)</f>
        <v>81.484414287270269</v>
      </c>
    </row>
    <row r="9" spans="1:10" x14ac:dyDescent="0.3">
      <c r="A9" s="17">
        <f t="shared" si="0"/>
        <v>1.5000000000000004</v>
      </c>
      <c r="B9" s="1" t="s">
        <v>86</v>
      </c>
      <c r="C9" s="23">
        <f>('Financial Statements'!B39/'Financial Statements'!B12)*365</f>
        <v>52.326862258116392</v>
      </c>
      <c r="D9" s="23">
        <f>('Financial Statements'!C39/'Financial Statements'!C12)*365</f>
        <v>45.046638305211417</v>
      </c>
      <c r="E9" s="23">
        <f>('Financial Statements'!D39/'Financial Statements'!D12)*365</f>
        <v>45.195033104581483</v>
      </c>
    </row>
    <row r="10" spans="1:10" x14ac:dyDescent="0.3">
      <c r="A10" s="17">
        <f t="shared" si="0"/>
        <v>1.6000000000000005</v>
      </c>
      <c r="B10" s="1" t="s">
        <v>87</v>
      </c>
      <c r="C10" s="23">
        <f>('Financial Statements'!B51/'Financial Statements'!B12)*365</f>
        <v>112.87758857898403</v>
      </c>
      <c r="D10" s="23">
        <f>('Financial Statements'!C51/'Financial Statements'!C12)*365</f>
        <v>100.1759176751272</v>
      </c>
      <c r="E10" s="23">
        <f>('Financial Statements'!D51/'Financial Statements'!D12)*365</f>
        <v>104.03655398221535</v>
      </c>
    </row>
    <row r="11" spans="1:10" x14ac:dyDescent="0.3">
      <c r="A11" s="17">
        <f t="shared" si="0"/>
        <v>1.7000000000000006</v>
      </c>
      <c r="B11" s="1" t="s">
        <v>88</v>
      </c>
      <c r="C11" s="23">
        <f>('Financial Statements'!B38/'Financial Statements'!B8)*365</f>
        <v>27.013931836326226</v>
      </c>
      <c r="D11" s="23">
        <f>('Financial Statements'!C38/'Financial Statements'!C8)*365</f>
        <v>26.137590333509387</v>
      </c>
      <c r="E11" s="23">
        <f>('Financial Statements'!D38/'Financial Statements'!D8)*365</f>
        <v>27.084649332316179</v>
      </c>
    </row>
    <row r="12" spans="1:10" x14ac:dyDescent="0.3">
      <c r="A12" s="17">
        <f t="shared" si="0"/>
        <v>1.8000000000000007</v>
      </c>
      <c r="B12" s="1" t="s">
        <v>89</v>
      </c>
      <c r="C12" s="23">
        <f>C9+C11-C10</f>
        <v>-33.536794484541417</v>
      </c>
      <c r="D12" s="23">
        <f t="shared" ref="D12:E12" si="1">D9+D11-D10</f>
        <v>-28.991689036406385</v>
      </c>
      <c r="E12" s="23">
        <f t="shared" si="1"/>
        <v>-31.756871545317694</v>
      </c>
    </row>
    <row r="13" spans="1:10" x14ac:dyDescent="0.3">
      <c r="A13" s="17">
        <f t="shared" si="0"/>
        <v>1.9000000000000008</v>
      </c>
      <c r="B13" s="1" t="s">
        <v>90</v>
      </c>
      <c r="C13" s="23">
        <f>(C14/'Financial Statements'!B8)*100</f>
        <v>1.3009793889782195</v>
      </c>
      <c r="D13" s="23">
        <f>(D14/'Financial Statements'!C8)*100</f>
        <v>2.8812256587958966</v>
      </c>
      <c r="E13" s="23">
        <f>(E14/'Financial Statements'!D8)*100</f>
        <v>3.0379079002716365</v>
      </c>
    </row>
    <row r="14" spans="1:10" x14ac:dyDescent="0.3">
      <c r="A14" s="17"/>
      <c r="B14" s="3" t="s">
        <v>91</v>
      </c>
      <c r="C14" s="32">
        <f>'Financial Statements'!B42-'Financial Statements'!B56</f>
        <v>2314</v>
      </c>
      <c r="D14" s="23">
        <f>'Financial Statements'!C42-'Financial Statements'!C56</f>
        <v>6710</v>
      </c>
      <c r="E14" s="23">
        <f>'Financial Statements'!D42-'Financial Statements'!D56</f>
        <v>8522</v>
      </c>
    </row>
    <row r="15" spans="1:10" x14ac:dyDescent="0.3">
      <c r="A15" s="17"/>
    </row>
    <row r="16" spans="1:10" x14ac:dyDescent="0.3">
      <c r="A16" s="17">
        <f>+A4+1</f>
        <v>2</v>
      </c>
      <c r="B16" s="16" t="s">
        <v>92</v>
      </c>
    </row>
    <row r="17" spans="1:9" x14ac:dyDescent="0.3">
      <c r="A17" s="17">
        <f>+A16+0.1</f>
        <v>2.1</v>
      </c>
      <c r="B17" s="1" t="s">
        <v>8</v>
      </c>
      <c r="C17" s="23">
        <f>('Financial Statements'!B13/'Financial Statements'!B8)*100</f>
        <v>37.068354828916149</v>
      </c>
      <c r="D17" s="23">
        <f>('Financial Statements'!C13/'Financial Statements'!C8)*100</f>
        <v>40.247416128852194</v>
      </c>
      <c r="E17" s="23">
        <f>('Financial Statements'!D13/'Financial Statements'!D8)*100</f>
        <v>40.990011478600607</v>
      </c>
    </row>
    <row r="18" spans="1:9" x14ac:dyDescent="0.3">
      <c r="A18" s="17">
        <f>+A17+0.1</f>
        <v>2.2000000000000002</v>
      </c>
      <c r="B18" s="1" t="s">
        <v>93</v>
      </c>
      <c r="C18" s="23">
        <f>(C19/'Financial Statements'!B8)*100</f>
        <v>8.5929857308310744</v>
      </c>
      <c r="D18" s="23">
        <f>(D19/'Financial Statements'!C8)*100</f>
        <v>12.418898435722046</v>
      </c>
      <c r="E18" s="23">
        <f>(E19/'Financial Statements'!D8)*100</f>
        <v>13.15226613242455</v>
      </c>
    </row>
    <row r="19" spans="1:9" x14ac:dyDescent="0.3">
      <c r="A19" s="17"/>
      <c r="B19" s="3" t="s">
        <v>94</v>
      </c>
      <c r="C19">
        <f>'Financial Statements'!B18+'Financial Statements'!B79+'Financial Statements'!B19</f>
        <v>15284</v>
      </c>
      <c r="D19">
        <f>'Financial Statements'!C18+'Financial Statements'!C79-'Financial Statements'!C19</f>
        <v>28922</v>
      </c>
      <c r="E19">
        <f>'Financial Statements'!D18+'Financial Statements'!D79-'Financial Statements'!D19</f>
        <v>36895</v>
      </c>
    </row>
    <row r="20" spans="1:9" x14ac:dyDescent="0.3">
      <c r="A20" s="17">
        <f>+A18+0.1</f>
        <v>2.3000000000000003</v>
      </c>
      <c r="B20" s="1" t="s">
        <v>95</v>
      </c>
      <c r="C20" s="23">
        <f>(C21/'Financial Statements'!B8)*100</f>
        <v>2.3084794170892695</v>
      </c>
      <c r="D20" s="23">
        <f>(D21/'Financial Statements'!C8)*100</f>
        <v>5.3334879147397665</v>
      </c>
      <c r="E20" s="23">
        <f>(E21/'Financial Statements'!D8)*100</f>
        <v>5.1835506662579052</v>
      </c>
    </row>
    <row r="21" spans="1:9" x14ac:dyDescent="0.3">
      <c r="A21" s="17"/>
      <c r="B21" s="3" t="s">
        <v>96</v>
      </c>
      <c r="C21">
        <f>'Financial Statements'!B18</f>
        <v>4106</v>
      </c>
      <c r="D21">
        <f>'Financial Statements'!C18</f>
        <v>12421</v>
      </c>
      <c r="E21">
        <f>'Financial Statements'!D18</f>
        <v>14541</v>
      </c>
    </row>
    <row r="22" spans="1:9" x14ac:dyDescent="0.3">
      <c r="A22" s="17">
        <f>+A20+0.1</f>
        <v>2.4000000000000004</v>
      </c>
      <c r="B22" s="1" t="s">
        <v>97</v>
      </c>
      <c r="C22" s="23">
        <f>('Financial Statements'!B22/'Financial Statements'!B8)*100</f>
        <v>1.705216286417865</v>
      </c>
      <c r="D22" s="23">
        <f>('Financial Statements'!C22/'Financial Statements'!C8)*100</f>
        <v>4.3252736305590265</v>
      </c>
      <c r="E22" s="23">
        <f>('Financial Statements'!D22/'Financial Statements'!D8)*100</f>
        <v>4.1308703060722509</v>
      </c>
    </row>
    <row r="23" spans="1:9" x14ac:dyDescent="0.3">
      <c r="A23" s="17"/>
    </row>
    <row r="24" spans="1:9" x14ac:dyDescent="0.3">
      <c r="A24" s="17">
        <f>+A16+1</f>
        <v>3</v>
      </c>
      <c r="B24" s="6" t="s">
        <v>98</v>
      </c>
    </row>
    <row r="25" spans="1:9" x14ac:dyDescent="0.3">
      <c r="A25" s="17">
        <f>+A24+0.1</f>
        <v>3.1</v>
      </c>
      <c r="B25" s="1" t="s">
        <v>99</v>
      </c>
      <c r="C25" s="23">
        <f>('Financial Statements'!B55+'Financial Statements'!B59)/'Financial Statements'!B68</f>
        <v>0.89295896640080841</v>
      </c>
      <c r="D25" s="23">
        <f>('Financial Statements'!C55+'Financial Statements'!C59)/'Financial Statements'!C68</f>
        <v>0.53950722175021237</v>
      </c>
      <c r="E25" s="23">
        <f>('Financial Statements'!D55+'Financial Statements'!D59)/'Financial Statements'!D68</f>
        <v>0.37728005156300354</v>
      </c>
    </row>
    <row r="26" spans="1:9" x14ac:dyDescent="0.3">
      <c r="A26" s="17">
        <f t="shared" ref="A26:A30" si="2">+A25+0.1</f>
        <v>3.2</v>
      </c>
      <c r="B26" s="1" t="s">
        <v>100</v>
      </c>
      <c r="C26" s="23">
        <f>('Financial Statements'!B55+'Financial Statements'!B59)/'Financial Statements'!B48</f>
        <v>0.18843195491584799</v>
      </c>
      <c r="D26" s="23">
        <f>('Financial Statements'!C55+'Financial Statements'!C59)/'Financial Statements'!C48</f>
        <v>0.14445305198957256</v>
      </c>
      <c r="E26" s="23">
        <f>('Financial Statements'!D55+'Financial Statements'!D59)/'Financial Statements'!D48</f>
        <v>0.10394764881375196</v>
      </c>
    </row>
    <row r="27" spans="1:9" x14ac:dyDescent="0.3">
      <c r="A27" s="17">
        <f t="shared" si="2"/>
        <v>3.3000000000000003</v>
      </c>
      <c r="B27" s="1" t="s">
        <v>101</v>
      </c>
      <c r="C27" s="23">
        <f>'Financial Statements'!B59/('Financial Statements'!B59+'Financial Statements'!B68)</f>
        <v>0.47172653092351102</v>
      </c>
      <c r="D27" s="23">
        <f>'Financial Statements'!C59/('Financial Statements'!C59+'Financial Statements'!C68)</f>
        <v>0.35044150110375277</v>
      </c>
      <c r="E27" s="23">
        <f>'Financial Statements'!D59/('Financial Statements'!D59+'Financial Statements'!D68)</f>
        <v>0.27393125394856915</v>
      </c>
    </row>
    <row r="28" spans="1:9" x14ac:dyDescent="0.3">
      <c r="A28" s="17">
        <f t="shared" si="2"/>
        <v>3.4000000000000004</v>
      </c>
      <c r="B28" s="1" t="s">
        <v>102</v>
      </c>
      <c r="C28" s="23">
        <f>C21/'Financial Statements'!B115</f>
        <v>6.346213292117465</v>
      </c>
      <c r="D28" s="23">
        <f>D21/'Financial Statements'!C115</f>
        <v>8.6920923722883128</v>
      </c>
      <c r="E28" s="23">
        <f>E21/'Financial Statements'!D115</f>
        <v>2.9542868752539619</v>
      </c>
    </row>
    <row r="29" spans="1:9" x14ac:dyDescent="0.3">
      <c r="A29" s="17">
        <f t="shared" si="2"/>
        <v>3.5000000000000004</v>
      </c>
      <c r="B29" s="1" t="s">
        <v>103</v>
      </c>
      <c r="C29" s="24">
        <f>'Financial Statements'!B91/('Financial Statements'!B55+'Financial Statements'!B59)</f>
        <v>0.74223012569211499</v>
      </c>
      <c r="D29" s="24">
        <f>'Financial Statements'!C91/('Financial Statements'!C55+'Financial Statements'!C59)</f>
        <v>1.307639923387955</v>
      </c>
      <c r="E29" s="24">
        <f>'Financial Statements'!D91/('Financial Statements'!D55+'Financial Statements'!D59)</f>
        <v>1.6449132997352012</v>
      </c>
    </row>
    <row r="30" spans="1:9" x14ac:dyDescent="0.3">
      <c r="A30" s="17">
        <f t="shared" si="2"/>
        <v>3.6000000000000005</v>
      </c>
      <c r="B30" s="1" t="s">
        <v>104</v>
      </c>
      <c r="C30" s="34">
        <f>(C31/'Financial Statements'!B27)*1000</f>
        <v>4.445208333333333E-2</v>
      </c>
      <c r="D30" s="34">
        <f>(D31/'Financial Statements'!C27)*1000</f>
        <v>3.5515400410677619E-2</v>
      </c>
      <c r="E30" s="34">
        <f>(E31/'Financial Statements'!D27)*1000</f>
        <v>4.3831983805668016E-2</v>
      </c>
      <c r="G30" t="s">
        <v>123</v>
      </c>
    </row>
    <row r="31" spans="1:9" x14ac:dyDescent="0.3">
      <c r="A31" s="17"/>
      <c r="B31" s="3" t="s">
        <v>105</v>
      </c>
      <c r="C31">
        <f>'Financial Statements'!B91+'Financial Statements'!B96+'List of Ratios'!G31</f>
        <v>21337</v>
      </c>
      <c r="D31">
        <f>'Financial Statements'!C91+'Financial Statements'!C96+'List of Ratios'!H30</f>
        <v>17296</v>
      </c>
      <c r="E31">
        <f>'Financial Statements'!D91+'Financial Statements'!D96+'List of Ratios'!I30</f>
        <v>21653</v>
      </c>
      <c r="G31">
        <f>'Financial Statements'!B104+'Financial Statements'!B105</f>
        <v>14927</v>
      </c>
      <c r="H31">
        <f>'Financial Statements'!C104+'Financial Statements'!C105</f>
        <v>100</v>
      </c>
      <c r="I31">
        <f>'Financial Statements'!D104+'Financial Statements'!D105</f>
        <v>-411</v>
      </c>
    </row>
    <row r="32" spans="1:9" x14ac:dyDescent="0.3">
      <c r="A32" s="17"/>
    </row>
    <row r="33" spans="1:7" x14ac:dyDescent="0.3">
      <c r="A33" s="17">
        <f>+A24+1</f>
        <v>4</v>
      </c>
      <c r="B33" s="16" t="s">
        <v>106</v>
      </c>
    </row>
    <row r="34" spans="1:7" x14ac:dyDescent="0.3">
      <c r="A34" s="17">
        <f>+A33+0.1</f>
        <v>4.0999999999999996</v>
      </c>
      <c r="B34" s="1" t="s">
        <v>107</v>
      </c>
      <c r="C34" s="23">
        <f>'Financial Statements'!B8/'Financial Statements'!B48</f>
        <v>1.3545503008148656</v>
      </c>
      <c r="D34" s="23">
        <f>'Financial Statements'!C8/'Financial Statements'!C48</f>
        <v>1.431846687324775</v>
      </c>
      <c r="E34" s="23">
        <f>'Financial Statements'!D8/'Financial Statements'!D48</f>
        <v>1.2453917459866459</v>
      </c>
    </row>
    <row r="35" spans="1:7" x14ac:dyDescent="0.3">
      <c r="A35" s="17">
        <f t="shared" ref="A35:A37" si="3">+A34+0.1</f>
        <v>4.1999999999999993</v>
      </c>
      <c r="B35" s="1" t="s">
        <v>108</v>
      </c>
      <c r="C35" s="23">
        <f>'Financial Statements'!B8/'Financial Statements'!B45</f>
        <v>3.6398723038513485</v>
      </c>
      <c r="D35" s="23">
        <f>'Financial Statements'!C8/'Financial Statements'!C45</f>
        <v>3.7685809990776251</v>
      </c>
      <c r="E35" s="23">
        <f>'Financial Statements'!D8/'Financial Statements'!D45</f>
        <v>3.8583591224812599</v>
      </c>
    </row>
    <row r="36" spans="1:7" x14ac:dyDescent="0.3">
      <c r="A36" s="17">
        <f t="shared" si="3"/>
        <v>4.2999999999999989</v>
      </c>
      <c r="B36" s="1" t="s">
        <v>109</v>
      </c>
      <c r="C36" s="23">
        <f>('Financial Statements'!B12)/(('Financial Statements'!B39+'Financial Statements'!C39)/2)</f>
        <v>6.7387495861051745</v>
      </c>
      <c r="D36" s="23">
        <f>('Financial Statements'!C12)/(('Financial Statements'!C39+'Financial Statements'!D39)/2)</f>
        <v>7.3879642165060657</v>
      </c>
      <c r="E36" s="23">
        <f>('Financial Statements'!D12)/(('Financial Statements'!D39+'Financial Statements'!E39)/2)</f>
        <v>16.15221739766795</v>
      </c>
    </row>
    <row r="37" spans="1:7" x14ac:dyDescent="0.3">
      <c r="A37" s="17">
        <f t="shared" si="3"/>
        <v>4.3999999999999986</v>
      </c>
      <c r="B37" s="1" t="s">
        <v>110</v>
      </c>
      <c r="C37" s="23">
        <f>('Financial Statements'!B22/'Financial Statements'!B48)*100</f>
        <v>2.3098012337217271</v>
      </c>
      <c r="D37" s="23">
        <f>('Financial Statements'!C22/'Financial Statements'!C48)*100</f>
        <v>6.1931287196891454</v>
      </c>
      <c r="E37" s="23">
        <f>('Financial Statements'!D22/'Financial Statements'!D48)*100</f>
        <v>5.1445517829237106</v>
      </c>
    </row>
    <row r="38" spans="1:7" x14ac:dyDescent="0.3">
      <c r="A38" s="17"/>
    </row>
    <row r="39" spans="1:7" x14ac:dyDescent="0.3">
      <c r="A39" s="17">
        <f>+A33+1</f>
        <v>5</v>
      </c>
      <c r="B39" s="16" t="s">
        <v>111</v>
      </c>
    </row>
    <row r="40" spans="1:7" x14ac:dyDescent="0.3">
      <c r="A40" s="17">
        <f>+A39+0.1</f>
        <v>5.0999999999999996</v>
      </c>
      <c r="B40" s="1" t="s">
        <v>112</v>
      </c>
      <c r="C40" s="23">
        <f>$G$41/'Financial Statements'!B25</f>
        <v>29.882926829268293</v>
      </c>
      <c r="D40" s="23">
        <f>$G$41/'Financial Statements'!C25</f>
        <v>9.1251241310824227</v>
      </c>
      <c r="E40" s="23">
        <f>$G$41/'Financial Statements'!D25</f>
        <v>7.9869621903520205</v>
      </c>
      <c r="G40" t="s">
        <v>124</v>
      </c>
    </row>
    <row r="41" spans="1:7" x14ac:dyDescent="0.3">
      <c r="A41" s="17">
        <f t="shared" ref="A41:A44" si="4">+A40+0.1</f>
        <v>5.1999999999999993</v>
      </c>
      <c r="B41" s="3" t="s">
        <v>113</v>
      </c>
      <c r="C41" s="35">
        <f>('Financial Statements'!B22/'Financial Statements'!B27)*1000000</f>
        <v>6.3187500000000005</v>
      </c>
      <c r="D41" s="23">
        <f>('Financial Statements'!C22/'Financial Statements'!C27)*100000</f>
        <v>2.0683778234086243</v>
      </c>
      <c r="E41" s="23">
        <f>('Financial Statements'!D22/'Financial Statements'!D27)*100000</f>
        <v>2.3457489878542508</v>
      </c>
      <c r="G41">
        <v>183.78</v>
      </c>
    </row>
    <row r="42" spans="1:7" x14ac:dyDescent="0.3">
      <c r="A42" s="17">
        <f t="shared" si="4"/>
        <v>5.2999999999999989</v>
      </c>
      <c r="B42" s="1" t="s">
        <v>114</v>
      </c>
      <c r="C42" s="25">
        <f>$G$41/C43</f>
        <v>31.836009960662601</v>
      </c>
      <c r="D42" s="25">
        <f t="shared" ref="D42:E42" si="5">$G$41/D43</f>
        <v>20.551760086339524</v>
      </c>
      <c r="E42" s="25">
        <f t="shared" si="5"/>
        <v>14.628959071865937</v>
      </c>
    </row>
    <row r="43" spans="1:7" x14ac:dyDescent="0.3">
      <c r="A43" s="17">
        <f t="shared" si="4"/>
        <v>5.3999999999999986</v>
      </c>
      <c r="B43" s="3" t="s">
        <v>115</v>
      </c>
      <c r="C43" s="23">
        <f>('Financial Statements'!B68/'Financial Statements'!B27)*100000</f>
        <v>5.7727083333333331</v>
      </c>
      <c r="D43" s="23">
        <f>('Financial Statements'!C68/'Financial Statements'!C27)*100000</f>
        <v>8.9422997946611922</v>
      </c>
      <c r="E43" s="23">
        <f>('Financial Statements'!D68/'Financial Statements'!D27)*100000</f>
        <v>12.562753036437247</v>
      </c>
    </row>
    <row r="44" spans="1:7" x14ac:dyDescent="0.3">
      <c r="A44" s="17">
        <f t="shared" si="4"/>
        <v>5.4999999999999982</v>
      </c>
      <c r="B44" s="1" t="s">
        <v>116</v>
      </c>
      <c r="C44" s="25">
        <f>C45/C41*100</f>
        <v>0</v>
      </c>
      <c r="D44" s="25">
        <f t="shared" ref="D44:E44" si="6">D45/D41*100</f>
        <v>0</v>
      </c>
      <c r="E44" s="25">
        <f t="shared" si="6"/>
        <v>0</v>
      </c>
    </row>
    <row r="45" spans="1:7" x14ac:dyDescent="0.3">
      <c r="A45" s="17"/>
      <c r="B45" s="3" t="s">
        <v>117</v>
      </c>
      <c r="C45" s="23">
        <f>(-'Financial Statements'!B102/'Financial Statements'!B27)*1000</f>
        <v>0</v>
      </c>
      <c r="D45" s="23">
        <f>(-'Financial Statements'!C102/'Financial Statements'!C27)*1000</f>
        <v>0</v>
      </c>
      <c r="E45" s="23">
        <f>(-'Financial Statements'!D102/'Financial Statements'!D27)*1000</f>
        <v>0</v>
      </c>
    </row>
    <row r="46" spans="1:7" x14ac:dyDescent="0.3">
      <c r="A46" s="17">
        <f>+A44+0.1</f>
        <v>5.5999999999999979</v>
      </c>
      <c r="B46" s="1" t="s">
        <v>118</v>
      </c>
      <c r="C46" s="25">
        <f>C45/$G$41*100</f>
        <v>0</v>
      </c>
      <c r="D46" s="25">
        <f t="shared" ref="D46:E46" si="7">D45/$G$41*100</f>
        <v>0</v>
      </c>
      <c r="E46" s="25">
        <f t="shared" si="7"/>
        <v>0</v>
      </c>
    </row>
    <row r="47" spans="1:7" x14ac:dyDescent="0.3">
      <c r="A47" s="17">
        <f t="shared" ref="A47:A50" si="8">+A45+0.1</f>
        <v>0.1</v>
      </c>
      <c r="B47" s="1" t="s">
        <v>119</v>
      </c>
      <c r="C47" s="23">
        <f>'Financial Statements'!B22/'Financial Statements'!B68</f>
        <v>0.10945902053484427</v>
      </c>
      <c r="D47" s="23">
        <f>'Financial Statements'!C22/'Financial Statements'!C68</f>
        <v>0.231302670555007</v>
      </c>
      <c r="E47" s="23">
        <f>'Financial Statements'!D22/'Financial Statements'!D68</f>
        <v>0.1867225265871737</v>
      </c>
    </row>
    <row r="48" spans="1:7" x14ac:dyDescent="0.3">
      <c r="A48" s="17">
        <f t="shared" si="8"/>
        <v>5.6999999999999975</v>
      </c>
      <c r="B48" s="1" t="s">
        <v>120</v>
      </c>
      <c r="C48" s="33">
        <f>C21/('Financial Statements'!B48-'Financial Statements'!B56)</f>
        <v>5.5919484658231988E-2</v>
      </c>
      <c r="D48" s="33">
        <f>D21/('Financial Statements'!C48-'Financial Statements'!C56)</f>
        <v>0.13177801118219337</v>
      </c>
      <c r="E48" s="33">
        <f>E21/('Financial Statements'!D48-'Financial Statements'!D56)</f>
        <v>0.1058019732821095</v>
      </c>
    </row>
    <row r="49" spans="1:5" x14ac:dyDescent="0.3">
      <c r="A49" s="17">
        <f t="shared" si="8"/>
        <v>0.2</v>
      </c>
      <c r="B49" s="1" t="s">
        <v>110</v>
      </c>
      <c r="C49" s="26">
        <f>C37</f>
        <v>2.3098012337217271</v>
      </c>
      <c r="D49" s="26">
        <f t="shared" ref="D49:E49" si="9">D37</f>
        <v>6.1931287196891454</v>
      </c>
      <c r="E49" s="26">
        <f t="shared" si="9"/>
        <v>5.1445517829237106</v>
      </c>
    </row>
    <row r="50" spans="1:5" x14ac:dyDescent="0.3">
      <c r="A50" s="17">
        <f t="shared" si="8"/>
        <v>5.7999999999999972</v>
      </c>
      <c r="B50" s="1" t="s">
        <v>121</v>
      </c>
      <c r="C50" s="23">
        <f>C51/C19</f>
        <v>5771683.0817194451</v>
      </c>
      <c r="D50" s="23">
        <f t="shared" ref="D50:E50" si="10">D51/D19</f>
        <v>3094559.5652098749</v>
      </c>
      <c r="E50" s="23">
        <f t="shared" si="10"/>
        <v>2460694.0594118442</v>
      </c>
    </row>
    <row r="51" spans="1:5" x14ac:dyDescent="0.3">
      <c r="A51" s="17"/>
      <c r="B51" s="3" t="s">
        <v>122</v>
      </c>
      <c r="C51">
        <f>('Financial Statements'!B27*'List of Ratios'!$G$41)+('Financial Statements'!B59+'Financial Statements'!B55)-'Financial Statements'!B36</f>
        <v>88214404221</v>
      </c>
      <c r="D51">
        <f>('Financial Statements'!C27*'List of Ratios'!$G$41)+('Financial Statements'!C59+'Financial Statements'!C55)-'Financial Statements'!C36</f>
        <v>89500851745</v>
      </c>
      <c r="E51">
        <f>('Financial Statements'!D27*'List of Ratios'!$G$41)+('Financial Statements'!D59+'Financial Statements'!D55)-'Financial Statements'!D36</f>
        <v>90787307322</v>
      </c>
    </row>
    <row r="55" spans="1:5" x14ac:dyDescent="0.3">
      <c r="B55" s="6" t="s">
        <v>125</v>
      </c>
    </row>
    <row r="56" spans="1:5" x14ac:dyDescent="0.3">
      <c r="B56" t="s">
        <v>127</v>
      </c>
      <c r="C56" s="22"/>
      <c r="D56" s="22">
        <f>('Financial Statements'!C8-'Financial Statements'!B8)/'Financial Statements'!B8</f>
        <v>0.3093396152159491</v>
      </c>
      <c r="E56" s="22">
        <f>('Financial Statements'!D8-'Financial Statements'!C8)/'Financial Statements'!C8</f>
        <v>0.2045412582067698</v>
      </c>
    </row>
    <row r="57" spans="1:5" x14ac:dyDescent="0.3">
      <c r="B57" t="s">
        <v>126</v>
      </c>
      <c r="C57" s="22"/>
      <c r="D57" s="22">
        <f>('Financial Statements'!C13-'Financial Statements'!B13)/'Financial Statements'!B13</f>
        <v>0.42163137778317056</v>
      </c>
      <c r="E57" s="22">
        <f>('Financial Statements'!D13-'Financial Statements'!C13)/'Financial Statements'!C13</f>
        <v>0.22676595790080123</v>
      </c>
    </row>
    <row r="58" spans="1:5" x14ac:dyDescent="0.3">
      <c r="B58" t="s">
        <v>128</v>
      </c>
      <c r="C58" s="22"/>
      <c r="D58" s="22">
        <f>('Financial Statements'!C17-'Financial Statements'!B17)/'Financial Statements'!B17</f>
        <v>0.26879604051565376</v>
      </c>
      <c r="E58" s="22">
        <f>('Financial Statements'!D17-'Financial Statements'!C17)/'Financial Statements'!C17</f>
        <v>0.20644906697631379</v>
      </c>
    </row>
    <row r="59" spans="1:5" x14ac:dyDescent="0.3">
      <c r="B59" t="s">
        <v>13</v>
      </c>
      <c r="C59" s="22"/>
      <c r="D59" s="22">
        <f>('Financial Statements'!C18-'Financial Statements'!B18)/'Financial Statements'!B18</f>
        <v>2.02508524111057</v>
      </c>
      <c r="E59" s="22">
        <f>('Financial Statements'!D18-'Financial Statements'!C18)/'Financial Statements'!C18</f>
        <v>0.17067868931648014</v>
      </c>
    </row>
    <row r="60" spans="1:5" x14ac:dyDescent="0.3">
      <c r="B60" t="s">
        <v>17</v>
      </c>
      <c r="C60" s="22"/>
      <c r="D60" s="22">
        <f>('Financial Statements'!C22-'Financial Statements'!B22)/'Financial Statements'!B22</f>
        <v>2.3211341905703922</v>
      </c>
      <c r="E60" s="22">
        <f>('Financial Statements'!D22-'Financial Statements'!C22)/'Financial Statements'!C22</f>
        <v>0.15040206492603991</v>
      </c>
    </row>
    <row r="63" spans="1:5" x14ac:dyDescent="0.3">
      <c r="B63" s="6" t="s">
        <v>129</v>
      </c>
    </row>
    <row r="64" spans="1:5" x14ac:dyDescent="0.3">
      <c r="B64" t="s">
        <v>130</v>
      </c>
      <c r="C64" s="22">
        <f>('Financial Statements'!B12/'Financial Statements'!B8)</f>
        <v>0.6293164517108385</v>
      </c>
      <c r="D64" s="22">
        <f>('Financial Statements'!C12/'Financial Statements'!C8)</f>
        <v>0.59752583871147813</v>
      </c>
      <c r="E64" s="22">
        <f>('Financial Statements'!D12/'Financial Statements'!D8)</f>
        <v>0.59009988521399392</v>
      </c>
    </row>
    <row r="65" spans="2:5" x14ac:dyDescent="0.3">
      <c r="B65" t="s">
        <v>131</v>
      </c>
      <c r="C65" s="22">
        <f>'Financial Statements'!B13/'Financial Statements'!B8</f>
        <v>0.3706835482891615</v>
      </c>
      <c r="D65" s="22">
        <f>'Financial Statements'!C13/'Financial Statements'!C8</f>
        <v>0.40247416128852193</v>
      </c>
      <c r="E65" s="22">
        <f>'Financial Statements'!D13/'Financial Statements'!D8</f>
        <v>0.40990011478600608</v>
      </c>
    </row>
    <row r="66" spans="2:5" x14ac:dyDescent="0.3">
      <c r="B66" t="s">
        <v>143</v>
      </c>
      <c r="C66" s="22">
        <f>'Financial Statements'!B17/'Financial Statements'!B8</f>
        <v>0.97691520582910729</v>
      </c>
      <c r="D66" s="22">
        <f>'Financial Statements'!C17/'Financial Statements'!C8</f>
        <v>0.94666512085260235</v>
      </c>
      <c r="E66" s="22">
        <f>'Financial Statements'!D17/'Financial Statements'!D8</f>
        <v>0.94816449333742092</v>
      </c>
    </row>
    <row r="67" spans="2:5" x14ac:dyDescent="0.3">
      <c r="B67" t="s">
        <v>13</v>
      </c>
      <c r="C67" s="36">
        <f>'Financial Statements'!B18/'Financial Statements'!B8</f>
        <v>2.3084794170892695E-2</v>
      </c>
      <c r="D67" s="36">
        <f>'Financial Statements'!C18/'Financial Statements'!C8</f>
        <v>5.3334879147397665E-2</v>
      </c>
      <c r="E67" s="36">
        <f>'Financial Statements'!D18/'Financial Statements'!D8</f>
        <v>5.1835506662579051E-2</v>
      </c>
    </row>
    <row r="68" spans="2:5" x14ac:dyDescent="0.3">
      <c r="B68" t="s">
        <v>80</v>
      </c>
      <c r="C68" s="36">
        <f>'Financial Statements'!B22/'Financial Statements'!B8</f>
        <v>1.7052162864178651E-2</v>
      </c>
      <c r="D68" s="36">
        <f>'Financial Statements'!C22/'Financial Statements'!C8</f>
        <v>4.3252736305590261E-2</v>
      </c>
      <c r="E68" s="36">
        <f>'Financial Statements'!D22/'Financial Statements'!D8</f>
        <v>4.1308703060722513E-2</v>
      </c>
    </row>
    <row r="70" spans="2:5" x14ac:dyDescent="0.3">
      <c r="B70" s="6" t="s">
        <v>132</v>
      </c>
    </row>
    <row r="71" spans="2:5" x14ac:dyDescent="0.3">
      <c r="B71" t="s">
        <v>144</v>
      </c>
      <c r="C71" s="36">
        <f>1-('Financial Statements'!B22/'Financial Statements'!B20)</f>
        <v>0.20310036784025221</v>
      </c>
      <c r="D71" s="36">
        <f>1-('Financial Statements'!C22/'Financial Statements'!C20)</f>
        <v>0.10549684752686261</v>
      </c>
      <c r="E71" s="36">
        <f>1-('Financial Statements'!D22/'Financial Statements'!D20)</f>
        <v>0.17086433886662855</v>
      </c>
    </row>
    <row r="72" spans="2:5" x14ac:dyDescent="0.3">
      <c r="B72" t="s">
        <v>145</v>
      </c>
      <c r="C72" s="27">
        <f>-'Financial Statements'!B96/'Financial Statements'!B8</f>
        <v>6.7213520290555814E-2</v>
      </c>
      <c r="D72" s="27">
        <f>-'Financial Statements'!C96/'Financial Statements'!C8</f>
        <v>5.7654570671613274E-2</v>
      </c>
      <c r="E72" s="27">
        <f>-'Financial Statements'!D96/'Financial Statements'!D8</f>
        <v>6.0105802753438235E-2</v>
      </c>
    </row>
    <row r="73" spans="2:5" x14ac:dyDescent="0.3">
      <c r="B73" t="s">
        <v>146</v>
      </c>
      <c r="C73" s="36">
        <f>-'Financial Statements'!B96/'Financial Statements'!B45</f>
        <v>0.24464863094994474</v>
      </c>
      <c r="D73" s="36">
        <f>-'Financial Statements'!C96/'Financial Statements'!C45</f>
        <v>0.21727591954301989</v>
      </c>
      <c r="E73" s="36">
        <f>-'Financial Statements'!D96/'Financial Statements'!D45</f>
        <v>0.23190977236778765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Prajwal Rodrigues</cp:lastModifiedBy>
  <dcterms:created xsi:type="dcterms:W3CDTF">2020-05-18T16:32:37Z</dcterms:created>
  <dcterms:modified xsi:type="dcterms:W3CDTF">2024-06-13T22:14:19Z</dcterms:modified>
</cp:coreProperties>
</file>