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moulay/Documents/King's/Application/Quill/"/>
    </mc:Choice>
  </mc:AlternateContent>
  <xr:revisionPtr revIDLastSave="0" documentId="13_ncr:1_{F642930F-B69E-7B44-8882-DD13CB0AAD93}" xr6:coauthVersionLast="47" xr6:coauthVersionMax="47" xr10:uidLastSave="{00000000-0000-0000-0000-000000000000}"/>
  <bookViews>
    <workbookView xWindow="0" yWindow="500" windowWidth="26060" windowHeight="1602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3" l="1"/>
  <c r="E82" i="3"/>
  <c r="C82" i="3"/>
  <c r="C81" i="3"/>
  <c r="D81" i="3"/>
  <c r="E81" i="3"/>
  <c r="D26" i="2"/>
  <c r="E80" i="3" s="1"/>
  <c r="D80" i="3"/>
  <c r="C80" i="3"/>
  <c r="D78" i="3"/>
  <c r="E78" i="3"/>
  <c r="C78" i="3"/>
  <c r="D77" i="3"/>
  <c r="E77" i="3"/>
  <c r="C77" i="3"/>
  <c r="D76" i="3"/>
  <c r="E76" i="3"/>
  <c r="C76" i="3"/>
  <c r="D75" i="3"/>
  <c r="E75" i="3"/>
  <c r="C75" i="3"/>
  <c r="C74" i="3"/>
  <c r="D74" i="3"/>
  <c r="E74" i="3"/>
  <c r="D73" i="3"/>
  <c r="E73" i="3"/>
  <c r="C73" i="3"/>
  <c r="E72" i="3"/>
  <c r="D72" i="3"/>
  <c r="C72" i="3"/>
  <c r="D68" i="3"/>
  <c r="C68" i="3"/>
  <c r="D67" i="3"/>
  <c r="C67" i="3"/>
  <c r="D66" i="3"/>
  <c r="C66" i="3"/>
  <c r="D65" i="3"/>
  <c r="C65" i="3"/>
  <c r="D64" i="3"/>
  <c r="C64" i="3"/>
  <c r="D62" i="3"/>
  <c r="D63" i="3"/>
  <c r="C63" i="3"/>
  <c r="C62" i="3"/>
  <c r="D61" i="3"/>
  <c r="C61" i="3"/>
  <c r="D60" i="3"/>
  <c r="C60" i="3"/>
  <c r="D59" i="3"/>
  <c r="C59" i="3"/>
  <c r="C55" i="3"/>
  <c r="D58" i="3"/>
  <c r="C58" i="3"/>
  <c r="C57" i="3"/>
  <c r="D57" i="3"/>
  <c r="C56" i="3"/>
  <c r="D56" i="3"/>
  <c r="D55" i="3"/>
  <c r="D51" i="3"/>
  <c r="E51" i="3"/>
  <c r="C51" i="3"/>
  <c r="D49" i="3"/>
  <c r="E49" i="3"/>
  <c r="C49" i="3"/>
  <c r="C37" i="3"/>
  <c r="D47" i="3"/>
  <c r="E47" i="3"/>
  <c r="C47" i="3"/>
  <c r="D43" i="3"/>
  <c r="E43" i="3"/>
  <c r="C43" i="3"/>
  <c r="D41" i="3"/>
  <c r="D40" i="3" s="1"/>
  <c r="D42" i="3" s="1"/>
  <c r="E41" i="3"/>
  <c r="E40" i="3" s="1"/>
  <c r="E42" i="3" s="1"/>
  <c r="C41" i="3"/>
  <c r="C40" i="3" s="1"/>
  <c r="C42" i="3" s="1"/>
  <c r="D37" i="3"/>
  <c r="E37" i="3"/>
  <c r="D36" i="3"/>
  <c r="E36" i="3"/>
  <c r="C36" i="3"/>
  <c r="D35" i="3"/>
  <c r="E35" i="3"/>
  <c r="C35" i="3"/>
  <c r="D34" i="3"/>
  <c r="E34" i="3"/>
  <c r="C34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D20" i="3" s="1"/>
  <c r="E21" i="3"/>
  <c r="E48" i="3" s="1"/>
  <c r="C21" i="3"/>
  <c r="C29" i="3" s="1"/>
  <c r="E18" i="3"/>
  <c r="D19" i="3"/>
  <c r="D18" i="3" s="1"/>
  <c r="E19" i="3"/>
  <c r="C19" i="3"/>
  <c r="C18" i="3" s="1"/>
  <c r="D17" i="3"/>
  <c r="E17" i="3"/>
  <c r="C17" i="3"/>
  <c r="D13" i="3"/>
  <c r="E13" i="3"/>
  <c r="C13" i="3"/>
  <c r="D14" i="3"/>
  <c r="E14" i="3"/>
  <c r="E31" i="3" s="1"/>
  <c r="E30" i="3" s="1"/>
  <c r="C14" i="3"/>
  <c r="C12" i="3"/>
  <c r="D11" i="3"/>
  <c r="E11" i="3"/>
  <c r="C11" i="3"/>
  <c r="D10" i="3"/>
  <c r="E10" i="3"/>
  <c r="C10" i="3"/>
  <c r="D9" i="3"/>
  <c r="E9" i="3"/>
  <c r="E12" i="3" s="1"/>
  <c r="C9" i="3"/>
  <c r="D8" i="3"/>
  <c r="E8" i="3"/>
  <c r="C8" i="3"/>
  <c r="D7" i="3"/>
  <c r="E7" i="3"/>
  <c r="C7" i="3"/>
  <c r="D6" i="3"/>
  <c r="E6" i="3"/>
  <c r="C6" i="3"/>
  <c r="D5" i="3"/>
  <c r="E5" i="3"/>
  <c r="C5" i="3"/>
  <c r="C65" i="2"/>
  <c r="C66" i="2" s="1"/>
  <c r="D65" i="2"/>
  <c r="D66" i="2" s="1"/>
  <c r="B65" i="2"/>
  <c r="B66" i="2" s="1"/>
  <c r="C53" i="2"/>
  <c r="D53" i="2"/>
  <c r="B53" i="2"/>
  <c r="C13" i="2"/>
  <c r="D13" i="2"/>
  <c r="B13" i="2"/>
  <c r="D50" i="3" l="1"/>
  <c r="E29" i="3"/>
  <c r="C20" i="3"/>
  <c r="C50" i="3"/>
  <c r="C31" i="3"/>
  <c r="C30" i="3" s="1"/>
  <c r="E28" i="3"/>
  <c r="E50" i="3"/>
  <c r="D12" i="3"/>
  <c r="D31" i="3"/>
  <c r="D30" i="3" s="1"/>
  <c r="E20" i="3"/>
  <c r="C28" i="3"/>
  <c r="C48" i="3"/>
  <c r="D48" i="3"/>
  <c r="D29" i="3"/>
  <c r="D28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<sst xmlns="http://schemas.openxmlformats.org/spreadsheetml/2006/main" count="197" uniqueCount="188">
  <si>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</si>
  <si>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</si>
  <si>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</si>
  <si>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</si>
  <si>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</si>
  <si>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</si>
  <si>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</si>
  <si>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</si>
  <si>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</si>
  <si>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</si>
  <si>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</si>
  <si>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</si>
  <si>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</si>
  <si>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</si>
  <si>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</si>
  <si>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</si>
  <si>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</si>
  <si>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</si>
  <si>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</si>
  <si>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</si>
  <si>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</si>
  <si>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</si>
  <si>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</si>
  <si>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</si>
  <si>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</si>
  <si>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</si>
  <si>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</si>
  <si>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</si>
  <si>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</si>
  <si>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</si>
  <si>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</si>
  <si>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</si>
  <si>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</si>
  <si>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</si>
  <si>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</si>
  <si>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</si>
  <si>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</si>
  <si>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</si>
  <si>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</si>
  <si>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</si>
  <si>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</si>
  <si>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</si>
  <si>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</si>
  <si>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</si>
  <si>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</si>
  <si>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</si>
  <si>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</si>
  <si>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</si>
  <si>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</si>
  <si>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</si>
  <si>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</si>
  <si>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</si>
  <si>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</si>
  <si>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</si>
  <si>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</si>
  <si>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</si>
  <si>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</si>
  <si>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</si>
  <si>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</si>
  <si>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</si>
  <si>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</si>
  <si>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</si>
  <si>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</si>
  <si>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</si>
  <si>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OPERATING ACTIVITIES:</t>
  </si>
  <si>
    <t>Net income</t>
  </si>
  <si>
    <t>Changes in operating assets and liabilities:</t>
  </si>
  <si>
    <t>Inventories</t>
  </si>
  <si>
    <t>Accounts receivable, net and other</t>
  </si>
  <si>
    <t>Accounts payable</t>
  </si>
  <si>
    <t>Accrued expenses and other</t>
  </si>
  <si>
    <t>Unearned revenue</t>
  </si>
  <si>
    <t>Net cash provided by (used in) operating activities</t>
  </si>
  <si>
    <t>INVESTING ACTIVITIES:</t>
  </si>
  <si>
    <t>Net cash provided by (used in) investing activities</t>
  </si>
  <si>
    <t>FINANCING ACTIVITIES: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</si>
  <si>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</si>
  <si>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</si>
  <si>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</si>
  <si>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</si>
  <si>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Cash paid for income taxes, net of refunds</t>
  </si>
  <si>
    <t>Net income Adjustments to reconcile net income to net cash from operating activities:</t>
  </si>
  <si>
    <t>Other operating expense, net</t>
  </si>
  <si>
    <t>SUPPLEMENTAL CASH FLOW INFORMATION: Cash paid for interest on long-term debt</t>
  </si>
  <si>
    <t>Cash paid for interest on capital and finance lease obligations</t>
  </si>
  <si>
    <t>Property and equipment acquired under capital leases</t>
  </si>
  <si>
    <t>Property and equipment acquired under build-to-suit leases</t>
  </si>
  <si>
    <t>Net product sales</t>
  </si>
  <si>
    <t>Net service sales</t>
  </si>
  <si>
    <t>Fulfillment</t>
  </si>
  <si>
    <t>Marketing</t>
  </si>
  <si>
    <t>Technology and content</t>
  </si>
  <si>
    <t>General and administrative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</si>
  <si>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</si>
  <si>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</si>
  <si>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</si>
  <si>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</si>
  <si>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</si>
  <si>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</si>
  <si>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Income before income taxes</t>
  </si>
  <si>
    <t>Provision for income taxes</t>
  </si>
  <si>
    <t>Equity-method investment activity, net of tax</t>
  </si>
  <si>
    <t>Basic earnings per share</t>
  </si>
  <si>
    <t>Diluted earnings per share</t>
  </si>
  <si>
    <t>Diluted</t>
  </si>
  <si>
    <t>Current assets: Cash and cash equivalents</t>
  </si>
  <si>
    <t>Marketable securities</t>
  </si>
  <si>
    <t>Total current assets</t>
  </si>
  <si>
    <t>Property and equipment, net</t>
  </si>
  <si>
    <t>Goodwill</t>
  </si>
  <si>
    <t>Other assets</t>
  </si>
  <si>
    <t>Total assets</t>
  </si>
  <si>
    <t>Current liabilities:</t>
  </si>
  <si>
    <t>Total current liabilities</t>
  </si>
  <si>
    <t>Long-term debt</t>
  </si>
  <si>
    <t>Treasury stock, at cost</t>
  </si>
  <si>
    <t>Additional paid-in capital</t>
  </si>
  <si>
    <t>Accumulated other comprehensive loss</t>
  </si>
  <si>
    <t>Retained earnings</t>
  </si>
  <si>
    <t>Total stockholders' equity</t>
  </si>
  <si>
    <t>Total liabilities and stockholders' equity</t>
  </si>
  <si>
    <t>Preferred stock, $0.01 par value: Authorized shares — 500 Issued and outstanding shares— none Common stock, $0.01 par value: Authorized shares — 5,000 Issued shares — 507 and 514 Outstanding shares — 484 and 491</t>
  </si>
  <si>
    <t>Long-term lease liabilities</t>
  </si>
  <si>
    <t xml:space="preserve">Total net sales </t>
  </si>
  <si>
    <t>Net Sales:</t>
  </si>
  <si>
    <t>Cost of sales:</t>
  </si>
  <si>
    <t>Gross Margin</t>
  </si>
  <si>
    <t>Total Cost of sales</t>
  </si>
  <si>
    <t>Operating expenses</t>
  </si>
  <si>
    <t xml:space="preserve">                 23.46</t>
  </si>
  <si>
    <t xml:space="preserve">                  23.01</t>
  </si>
  <si>
    <t xml:space="preserve">                  20.68</t>
  </si>
  <si>
    <t xml:space="preserve">                 20.14</t>
  </si>
  <si>
    <t xml:space="preserve">                     6.32</t>
  </si>
  <si>
    <t xml:space="preserve">                     6.15</t>
  </si>
  <si>
    <t>Earnings Per Share:</t>
  </si>
  <si>
    <t>Weighted-average shares used in computation of earnings per share</t>
  </si>
  <si>
    <t xml:space="preserve"> Basic</t>
  </si>
  <si>
    <t>Operating Lease</t>
  </si>
  <si>
    <t>Non Current Assets:</t>
  </si>
  <si>
    <t>Total Non Current Assets</t>
  </si>
  <si>
    <t>Non Current Liabilities:</t>
  </si>
  <si>
    <t>Other long-term liabilities Commitments and contingencies</t>
  </si>
  <si>
    <t>Total Non Current Liabilities</t>
  </si>
  <si>
    <t>Shareholders’ equity:</t>
  </si>
  <si>
    <t>Total Liabilities</t>
  </si>
  <si>
    <t xml:space="preserve">CASH, CASH EQUIVALENTS, AND RESTRICTED CASH, BEGINNING OF PERIOD </t>
  </si>
  <si>
    <t xml:space="preserve">    Depreciation of property and equipment and other amortization, including capitalized content costs</t>
  </si>
  <si>
    <t xml:space="preserve">    Stock-based compensation</t>
  </si>
  <si>
    <t xml:space="preserve">    Other operating expense, net</t>
  </si>
  <si>
    <t xml:space="preserve">   Other expense (income), net</t>
  </si>
  <si>
    <t xml:space="preserve">   Deferred income taxes </t>
  </si>
  <si>
    <t xml:space="preserve">  Inventories</t>
  </si>
  <si>
    <t xml:space="preserve">  Accounts receivable, net and other</t>
  </si>
  <si>
    <t xml:space="preserve">  Accounts payable</t>
  </si>
  <si>
    <t xml:space="preserve">   Accrued expenses and other</t>
  </si>
  <si>
    <t xml:space="preserve">   Unearned revenue</t>
  </si>
  <si>
    <t xml:space="preserve">     Purchases of property and equipment</t>
  </si>
  <si>
    <t xml:space="preserve">     Proceeds from property and equipment incentives</t>
  </si>
  <si>
    <t xml:space="preserve">     Acquisitions, net of cash acquired, and other</t>
  </si>
  <si>
    <t xml:space="preserve">    Sales and maturities of marketable securities</t>
  </si>
  <si>
    <t xml:space="preserve">     Purchases of marketable securities</t>
  </si>
  <si>
    <t xml:space="preserve">       Proceeds from long-term debt and other</t>
  </si>
  <si>
    <t xml:space="preserve">       Repayments of long-term debt and other</t>
  </si>
  <si>
    <t xml:space="preserve">       Proceeds from short-term debt, and Other</t>
  </si>
  <si>
    <t xml:space="preserve">      Repayments of short-term debt, and other</t>
  </si>
  <si>
    <t xml:space="preserve">     Principal repayments of capital lease obligations</t>
  </si>
  <si>
    <t xml:space="preserve">     Principal repayments of finance lease obligations</t>
  </si>
  <si>
    <t>Growth Rates</t>
  </si>
  <si>
    <t xml:space="preserve">   Products sales </t>
  </si>
  <si>
    <t xml:space="preserve">   Services sales</t>
  </si>
  <si>
    <t xml:space="preserve">   Net Sales</t>
  </si>
  <si>
    <t xml:space="preserve">   Gross profit</t>
  </si>
  <si>
    <t>Selling, general and administrative</t>
  </si>
  <si>
    <t>Cash and cash equivalents</t>
  </si>
  <si>
    <t>Accounts receivable, net</t>
  </si>
  <si>
    <t>Property, plant and equipment, net</t>
  </si>
  <si>
    <t>Term debt</t>
  </si>
  <si>
    <t>Total liabilities</t>
  </si>
  <si>
    <t>Total shareholders’ equity</t>
  </si>
  <si>
    <t>Margins as % of Sales</t>
  </si>
  <si>
    <t>COGS (Cost of goods sold)</t>
  </si>
  <si>
    <t>Gross profits</t>
  </si>
  <si>
    <t>Net profit</t>
  </si>
  <si>
    <t>Income tax rate</t>
  </si>
  <si>
    <t>Capex as a percentage of sales</t>
  </si>
  <si>
    <t>Capex as a percentage of fixed assets</t>
  </si>
  <si>
    <t xml:space="preserve">  Technology and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</si>
</sst>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€&quot;_ ;_ * \(#,##0.00\)\ &quot;€&quot;_ ;_ * &quot;-&quot;??_)\ &quot;€&quot;_ ;_ @_ 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.00\ &quot;€&quot;"/>
    <numFmt numFmtId="169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2" fontId="0" fillId="4" borderId="0" xfId="0" applyNumberFormat="1" applyFill="1"/>
    <xf numFmtId="2" fontId="0" fillId="0" borderId="0" xfId="0" applyNumberFormat="1"/>
    <xf numFmtId="165" fontId="2" fillId="0" borderId="0" xfId="1" applyNumberFormat="1" applyFont="1" applyBorder="1"/>
    <xf numFmtId="165" fontId="0" fillId="0" borderId="0" xfId="1" applyNumberFormat="1" applyFont="1" applyBorder="1"/>
    <xf numFmtId="1" fontId="0" fillId="0" borderId="0" xfId="0" applyNumberFormat="1"/>
    <xf numFmtId="10" fontId="0" fillId="0" borderId="0" xfId="0" applyNumberFormat="1"/>
    <xf numFmtId="39" fontId="0" fillId="0" borderId="0" xfId="0" applyNumberFormat="1"/>
    <xf numFmtId="4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9" fontId="2" fillId="0" borderId="0" xfId="0" applyNumberFormat="1" applyFont="1"/>
    <xf numFmtId="169" fontId="2" fillId="0" borderId="4" xfId="0" applyNumberFormat="1" applyFont="1" applyBorder="1"/>
    <xf numFmtId="0" fontId="2" fillId="0" borderId="4" xfId="0" applyNumberFormat="1" applyFont="1" applyBorder="1"/>
    <xf numFmtId="0" fontId="0" fillId="0" borderId="0" xfId="0" applyNumberFormat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="136" zoomScaleNormal="136"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0"/>
  <sheetViews>
    <sheetView tabSelected="1" workbookViewId="0">
      <selection activeCell="D27" sqref="D27"/>
    </sheetView>
  </sheetViews>
  <sheetFormatPr baseColWidth="10" defaultColWidth="8.83203125" defaultRowHeight="15" x14ac:dyDescent="0.2"/>
  <cols>
    <col min="1" max="1" width="87.33203125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33" t="s">
        <v>10</v>
      </c>
      <c r="B2" s="33"/>
      <c r="C2" s="33"/>
      <c r="D2" s="33"/>
    </row>
    <row r="3" spans="1:10" x14ac:dyDescent="0.2">
      <c r="B3" s="32" t="s">
        <v>57</v>
      </c>
      <c r="C3" s="32"/>
      <c r="D3" s="32"/>
    </row>
    <row r="4" spans="1:10" x14ac:dyDescent="0.2">
      <c r="B4" s="9">
        <v>2019</v>
      </c>
      <c r="C4" s="9">
        <v>2018</v>
      </c>
      <c r="D4" s="9">
        <v>2017</v>
      </c>
    </row>
    <row r="5" spans="1:10" x14ac:dyDescent="0.2">
      <c r="A5" t="s">
        <v>124</v>
      </c>
      <c r="B5" s="9"/>
      <c r="C5" s="9"/>
      <c r="D5" s="9"/>
    </row>
    <row r="6" spans="1:10" x14ac:dyDescent="0.2">
      <c r="A6" t="s">
        <v>87</v>
      </c>
      <c r="B6">
        <v>160.40799999999999</v>
      </c>
      <c r="C6">
        <v>141.91499999999999</v>
      </c>
      <c r="D6">
        <v>118.57299999999999</v>
      </c>
    </row>
    <row r="7" spans="1:10" s="18" customFormat="1" x14ac:dyDescent="0.2">
      <c r="A7" s="18" t="s">
        <v>88</v>
      </c>
      <c r="B7" s="18">
        <v>120.114</v>
      </c>
      <c r="C7" s="18">
        <v>90.971999999999994</v>
      </c>
      <c r="D7" s="18">
        <v>59.292999999999999</v>
      </c>
    </row>
    <row r="8" spans="1:10" x14ac:dyDescent="0.2">
      <c r="A8" s="9" t="s">
        <v>123</v>
      </c>
      <c r="B8" s="34">
        <v>280.52199999999999</v>
      </c>
      <c r="C8" s="9">
        <v>232.887</v>
      </c>
      <c r="D8" s="9">
        <v>177.86600000000001</v>
      </c>
    </row>
    <row r="9" spans="1:10" x14ac:dyDescent="0.2">
      <c r="A9" t="s">
        <v>125</v>
      </c>
      <c r="B9">
        <v>165.536</v>
      </c>
      <c r="C9">
        <v>139.15600000000001</v>
      </c>
      <c r="D9">
        <v>111.934</v>
      </c>
    </row>
    <row r="11" spans="1:10" s="18" customFormat="1" x14ac:dyDescent="0.2"/>
    <row r="12" spans="1:10" s="20" customFormat="1" x14ac:dyDescent="0.2">
      <c r="A12" s="19" t="s">
        <v>127</v>
      </c>
      <c r="B12" s="19">
        <v>165.536</v>
      </c>
      <c r="C12" s="19">
        <v>139.15600000000001</v>
      </c>
      <c r="D12" s="19">
        <v>111.934</v>
      </c>
    </row>
    <row r="13" spans="1:10" x14ac:dyDescent="0.2">
      <c r="A13" s="9" t="s">
        <v>126</v>
      </c>
      <c r="B13" s="9">
        <f>B8-B12</f>
        <v>114.98599999999999</v>
      </c>
      <c r="C13" s="9">
        <f t="shared" ref="C13:D13" si="0">C8-C12</f>
        <v>93.730999999999995</v>
      </c>
      <c r="D13" s="9">
        <f t="shared" si="0"/>
        <v>65.932000000000016</v>
      </c>
    </row>
    <row r="14" spans="1:10" x14ac:dyDescent="0.2">
      <c r="A14" t="s">
        <v>128</v>
      </c>
      <c r="B14" s="9"/>
      <c r="C14" s="9"/>
      <c r="D14" s="9"/>
    </row>
    <row r="15" spans="1:10" x14ac:dyDescent="0.2">
      <c r="A15" t="s">
        <v>89</v>
      </c>
      <c r="B15">
        <v>40.231999999999999</v>
      </c>
      <c r="C15">
        <v>34.027000000000001</v>
      </c>
      <c r="D15">
        <v>25.248999999999999</v>
      </c>
    </row>
    <row r="16" spans="1:10" x14ac:dyDescent="0.2">
      <c r="A16" t="s">
        <v>90</v>
      </c>
      <c r="B16">
        <v>15.930999999999999</v>
      </c>
      <c r="C16">
        <v>13.814</v>
      </c>
      <c r="D16">
        <v>10.069000000000001</v>
      </c>
    </row>
    <row r="17" spans="1:4" x14ac:dyDescent="0.2">
      <c r="A17" t="s">
        <v>91</v>
      </c>
      <c r="B17">
        <v>18.878</v>
      </c>
      <c r="C17">
        <v>28.837</v>
      </c>
      <c r="D17">
        <v>22.62</v>
      </c>
    </row>
    <row r="18" spans="1:4" x14ac:dyDescent="0.2">
      <c r="A18" t="s">
        <v>92</v>
      </c>
      <c r="B18">
        <v>5.2030000000000003</v>
      </c>
      <c r="C18">
        <v>4.3360000000000003</v>
      </c>
      <c r="D18">
        <v>3.6739999999999999</v>
      </c>
    </row>
    <row r="19" spans="1:4" x14ac:dyDescent="0.2">
      <c r="A19" t="s">
        <v>82</v>
      </c>
      <c r="B19">
        <v>201</v>
      </c>
      <c r="C19">
        <v>296</v>
      </c>
      <c r="D19">
        <v>214</v>
      </c>
    </row>
    <row r="20" spans="1:4" s="20" customFormat="1" x14ac:dyDescent="0.2">
      <c r="A20" s="19" t="s">
        <v>93</v>
      </c>
      <c r="B20" s="19">
        <v>265.98099999999999</v>
      </c>
      <c r="C20" s="19">
        <v>220.46600000000001</v>
      </c>
      <c r="D20" s="19">
        <v>173.76</v>
      </c>
    </row>
    <row r="21" spans="1:4" x14ac:dyDescent="0.2">
      <c r="A21" s="9" t="s">
        <v>94</v>
      </c>
      <c r="B21" s="9">
        <v>14.541</v>
      </c>
      <c r="C21" s="9">
        <v>12.420999999999999</v>
      </c>
      <c r="D21" s="9">
        <v>4.1059999999999999</v>
      </c>
    </row>
    <row r="22" spans="1:4" x14ac:dyDescent="0.2">
      <c r="A22" t="s">
        <v>95</v>
      </c>
      <c r="B22">
        <v>832</v>
      </c>
      <c r="C22">
        <v>440</v>
      </c>
      <c r="D22">
        <v>202</v>
      </c>
    </row>
    <row r="23" spans="1:4" x14ac:dyDescent="0.2">
      <c r="A23" t="s">
        <v>96</v>
      </c>
      <c r="B23">
        <v>-1.6</v>
      </c>
      <c r="C23">
        <v>-1.417</v>
      </c>
      <c r="D23">
        <v>-848</v>
      </c>
    </row>
    <row r="24" spans="1:4" s="19" customFormat="1" x14ac:dyDescent="0.2">
      <c r="A24" s="18" t="s">
        <v>97</v>
      </c>
      <c r="B24" s="18">
        <v>203</v>
      </c>
      <c r="C24" s="18">
        <v>-183</v>
      </c>
      <c r="D24" s="18">
        <v>346</v>
      </c>
    </row>
    <row r="25" spans="1:4" s="20" customFormat="1" x14ac:dyDescent="0.2">
      <c r="A25" s="20" t="s">
        <v>98</v>
      </c>
      <c r="B25" s="20">
        <v>-565</v>
      </c>
      <c r="C25" s="20">
        <v>-1.1599999999999999</v>
      </c>
      <c r="D25" s="20">
        <v>-300</v>
      </c>
    </row>
    <row r="26" spans="1:4" s="22" customFormat="1" ht="16" thickBot="1" x14ac:dyDescent="0.25">
      <c r="A26" s="21" t="s">
        <v>99</v>
      </c>
      <c r="B26" s="21">
        <v>13.976000000000001</v>
      </c>
      <c r="C26" s="21">
        <v>11.260999999999999</v>
      </c>
      <c r="D26" s="36">
        <f>3806</f>
        <v>3806</v>
      </c>
    </row>
    <row r="27" spans="1:4" x14ac:dyDescent="0.2">
      <c r="A27" t="s">
        <v>100</v>
      </c>
      <c r="B27">
        <v>-2.3740000000000001</v>
      </c>
      <c r="C27">
        <v>-1.1970000000000001</v>
      </c>
      <c r="D27" s="37">
        <v>-769</v>
      </c>
    </row>
    <row r="28" spans="1:4" s="18" customFormat="1" x14ac:dyDescent="0.2">
      <c r="A28" s="18" t="s">
        <v>101</v>
      </c>
      <c r="B28" s="18">
        <v>-14</v>
      </c>
      <c r="C28" s="18">
        <v>9</v>
      </c>
      <c r="D28" s="18">
        <v>-4</v>
      </c>
    </row>
    <row r="29" spans="1:4" s="22" customFormat="1" ht="16" thickBot="1" x14ac:dyDescent="0.25">
      <c r="A29" s="21" t="s">
        <v>65</v>
      </c>
      <c r="B29" s="35">
        <v>11.587999999999999</v>
      </c>
      <c r="C29" s="21">
        <v>10.073</v>
      </c>
      <c r="D29" s="21">
        <v>3.0329999999999999</v>
      </c>
    </row>
    <row r="30" spans="1:4" x14ac:dyDescent="0.2">
      <c r="A30" t="s">
        <v>135</v>
      </c>
      <c r="B30" s="9"/>
      <c r="C30" s="9"/>
      <c r="D30" s="9"/>
    </row>
    <row r="31" spans="1:4" x14ac:dyDescent="0.2">
      <c r="A31" t="s">
        <v>102</v>
      </c>
      <c r="B31" s="23" t="s">
        <v>129</v>
      </c>
      <c r="C31" s="23" t="s">
        <v>131</v>
      </c>
      <c r="D31" s="23" t="s">
        <v>133</v>
      </c>
    </row>
    <row r="32" spans="1:4" x14ac:dyDescent="0.2">
      <c r="A32" t="s">
        <v>103</v>
      </c>
      <c r="B32" s="23" t="s">
        <v>130</v>
      </c>
      <c r="C32" s="23" t="s">
        <v>132</v>
      </c>
      <c r="D32" s="23" t="s">
        <v>134</v>
      </c>
    </row>
    <row r="33" spans="1:4" x14ac:dyDescent="0.2">
      <c r="A33" t="s">
        <v>136</v>
      </c>
      <c r="B33" s="24"/>
      <c r="C33" s="24"/>
      <c r="D33" s="24"/>
    </row>
    <row r="34" spans="1:4" x14ac:dyDescent="0.2">
      <c r="A34" t="s">
        <v>137</v>
      </c>
      <c r="B34">
        <v>494</v>
      </c>
      <c r="C34">
        <v>487</v>
      </c>
      <c r="D34">
        <v>480</v>
      </c>
    </row>
    <row r="35" spans="1:4" x14ac:dyDescent="0.2">
      <c r="A35" t="s">
        <v>104</v>
      </c>
      <c r="B35">
        <v>504</v>
      </c>
      <c r="C35">
        <v>500</v>
      </c>
      <c r="D35">
        <v>493</v>
      </c>
    </row>
    <row r="36" spans="1:4" x14ac:dyDescent="0.2">
      <c r="A36" s="1"/>
      <c r="B36" s="12"/>
      <c r="C36" s="12"/>
      <c r="D36" s="12"/>
    </row>
    <row r="39" spans="1:4" x14ac:dyDescent="0.2">
      <c r="A39" s="33" t="s">
        <v>12</v>
      </c>
      <c r="B39" s="33"/>
      <c r="C39" s="33"/>
      <c r="D39" s="33"/>
    </row>
    <row r="40" spans="1:4" x14ac:dyDescent="0.2">
      <c r="B40" s="32" t="s">
        <v>58</v>
      </c>
      <c r="C40" s="32"/>
      <c r="D40" s="32"/>
    </row>
    <row r="41" spans="1:4" x14ac:dyDescent="0.2">
      <c r="B41" s="9">
        <v>2019</v>
      </c>
      <c r="C41" s="9">
        <v>2018</v>
      </c>
      <c r="D41" s="9">
        <v>2017</v>
      </c>
    </row>
    <row r="43" spans="1:4" x14ac:dyDescent="0.2">
      <c r="A43" t="s">
        <v>105</v>
      </c>
      <c r="B43">
        <v>36.091999999999999</v>
      </c>
      <c r="C43">
        <v>31.75</v>
      </c>
      <c r="D43">
        <v>20.521999999999998</v>
      </c>
    </row>
    <row r="44" spans="1:4" x14ac:dyDescent="0.2">
      <c r="A44" t="s">
        <v>106</v>
      </c>
      <c r="B44">
        <v>18.928999999999998</v>
      </c>
      <c r="C44">
        <v>9.5</v>
      </c>
      <c r="D44">
        <v>10.464</v>
      </c>
    </row>
    <row r="45" spans="1:4" x14ac:dyDescent="0.2">
      <c r="A45" t="s">
        <v>67</v>
      </c>
      <c r="B45">
        <v>20.497</v>
      </c>
      <c r="C45">
        <v>17.173999999999999</v>
      </c>
      <c r="D45">
        <v>16.047000000000001</v>
      </c>
    </row>
    <row r="46" spans="1:4" x14ac:dyDescent="0.2">
      <c r="A46" t="s">
        <v>68</v>
      </c>
      <c r="B46" s="18">
        <v>20.815999999999999</v>
      </c>
      <c r="C46" s="18">
        <v>16.677</v>
      </c>
      <c r="D46" s="18">
        <v>13.164</v>
      </c>
    </row>
    <row r="47" spans="1:4" x14ac:dyDescent="0.2">
      <c r="A47" s="11" t="s">
        <v>107</v>
      </c>
      <c r="B47" s="9">
        <v>96.334000000000003</v>
      </c>
      <c r="C47" s="9">
        <v>75.100999999999999</v>
      </c>
      <c r="D47" s="9">
        <v>53.868000000000002</v>
      </c>
    </row>
    <row r="48" spans="1:4" x14ac:dyDescent="0.2">
      <c r="A48" t="s">
        <v>139</v>
      </c>
    </row>
    <row r="49" spans="1:4" x14ac:dyDescent="0.2">
      <c r="A49" t="s">
        <v>108</v>
      </c>
      <c r="B49">
        <v>72.704999999999998</v>
      </c>
      <c r="C49">
        <v>61.796999999999997</v>
      </c>
      <c r="D49">
        <v>48.866</v>
      </c>
    </row>
    <row r="50" spans="1:4" x14ac:dyDescent="0.2">
      <c r="A50" t="s">
        <v>138</v>
      </c>
      <c r="B50">
        <v>25.140999999999998</v>
      </c>
    </row>
    <row r="51" spans="1:4" x14ac:dyDescent="0.2">
      <c r="A51" t="s">
        <v>109</v>
      </c>
      <c r="B51">
        <v>14.754</v>
      </c>
      <c r="C51">
        <v>14.548</v>
      </c>
      <c r="D51">
        <v>13.35</v>
      </c>
    </row>
    <row r="52" spans="1:4" x14ac:dyDescent="0.2">
      <c r="A52" t="s">
        <v>110</v>
      </c>
      <c r="B52">
        <v>16.314</v>
      </c>
      <c r="C52">
        <v>11.202</v>
      </c>
      <c r="D52">
        <v>8.8970000000000002</v>
      </c>
    </row>
    <row r="53" spans="1:4" s="19" customFormat="1" x14ac:dyDescent="0.2">
      <c r="A53" s="19" t="s">
        <v>140</v>
      </c>
      <c r="B53" s="19">
        <f>B49+B50+B51+B52</f>
        <v>128.91400000000002</v>
      </c>
      <c r="C53" s="19">
        <f t="shared" ref="C53:D53" si="1">C49+C50+C51+C52</f>
        <v>87.546999999999997</v>
      </c>
      <c r="D53" s="19">
        <f t="shared" si="1"/>
        <v>71.113</v>
      </c>
    </row>
    <row r="54" spans="1:4" s="21" customFormat="1" ht="16" thickBot="1" x14ac:dyDescent="0.25">
      <c r="A54" s="21" t="s">
        <v>111</v>
      </c>
      <c r="B54" s="21">
        <v>225.24799999999999</v>
      </c>
      <c r="C54" s="21">
        <v>162.648</v>
      </c>
      <c r="D54" s="21">
        <v>131.31</v>
      </c>
    </row>
    <row r="56" spans="1:4" x14ac:dyDescent="0.2">
      <c r="A56" t="s">
        <v>112</v>
      </c>
      <c r="B56">
        <v>47.183</v>
      </c>
      <c r="C56">
        <v>38.192</v>
      </c>
      <c r="D56">
        <v>34.616</v>
      </c>
    </row>
    <row r="57" spans="1:4" x14ac:dyDescent="0.2">
      <c r="A57" t="s">
        <v>69</v>
      </c>
      <c r="C57" s="26"/>
      <c r="D57" s="10"/>
    </row>
    <row r="58" spans="1:4" x14ac:dyDescent="0.2">
      <c r="A58" t="s">
        <v>70</v>
      </c>
      <c r="B58">
        <v>32.439</v>
      </c>
      <c r="C58">
        <v>23.663</v>
      </c>
      <c r="D58">
        <v>18.170000000000002</v>
      </c>
    </row>
    <row r="59" spans="1:4" x14ac:dyDescent="0.2">
      <c r="A59" t="s">
        <v>71</v>
      </c>
      <c r="B59">
        <v>8.19</v>
      </c>
      <c r="C59">
        <v>6.5359999999999996</v>
      </c>
      <c r="D59">
        <v>5.0970000000000004</v>
      </c>
    </row>
    <row r="60" spans="1:4" s="11" customFormat="1" x14ac:dyDescent="0.2">
      <c r="A60" s="11" t="s">
        <v>113</v>
      </c>
      <c r="B60" s="11">
        <v>87.811999999999998</v>
      </c>
      <c r="C60" s="11">
        <v>68.391000000000005</v>
      </c>
      <c r="D60" s="11">
        <v>57.883000000000003</v>
      </c>
    </row>
    <row r="61" spans="1:4" s="9" customFormat="1" x14ac:dyDescent="0.2">
      <c r="A61" t="s">
        <v>141</v>
      </c>
    </row>
    <row r="62" spans="1:4" x14ac:dyDescent="0.2">
      <c r="A62" t="s">
        <v>122</v>
      </c>
      <c r="B62">
        <v>39.790999999999997</v>
      </c>
    </row>
    <row r="63" spans="1:4" x14ac:dyDescent="0.2">
      <c r="A63" t="s">
        <v>114</v>
      </c>
      <c r="B63">
        <v>23.414000000000001</v>
      </c>
      <c r="C63">
        <v>23.495000000000001</v>
      </c>
      <c r="D63">
        <v>24.742999999999999</v>
      </c>
    </row>
    <row r="64" spans="1:4" x14ac:dyDescent="0.2">
      <c r="A64" t="s">
        <v>142</v>
      </c>
      <c r="B64">
        <v>12.170999999999999</v>
      </c>
      <c r="C64">
        <v>27.213000000000001</v>
      </c>
      <c r="D64">
        <v>20.975000000000001</v>
      </c>
    </row>
    <row r="65" spans="1:4" s="19" customFormat="1" x14ac:dyDescent="0.2">
      <c r="A65" s="19" t="s">
        <v>143</v>
      </c>
      <c r="B65" s="19">
        <f>B62+B63+B64</f>
        <v>75.376000000000005</v>
      </c>
      <c r="C65" s="19">
        <f t="shared" ref="C65:D65" si="2">C62+C63+C64</f>
        <v>50.707999999999998</v>
      </c>
      <c r="D65" s="19">
        <f t="shared" si="2"/>
        <v>45.718000000000004</v>
      </c>
    </row>
    <row r="66" spans="1:4" s="9" customFormat="1" x14ac:dyDescent="0.2">
      <c r="A66" s="9" t="s">
        <v>145</v>
      </c>
      <c r="B66" s="9">
        <f>B60+B65</f>
        <v>163.18799999999999</v>
      </c>
      <c r="C66" s="9">
        <f t="shared" ref="C66:D66" si="3">C60+C65</f>
        <v>119.099</v>
      </c>
      <c r="D66" s="9">
        <f t="shared" si="3"/>
        <v>103.601</v>
      </c>
    </row>
    <row r="67" spans="1:4" s="9" customFormat="1" x14ac:dyDescent="0.2"/>
    <row r="68" spans="1:4" s="9" customFormat="1" x14ac:dyDescent="0.2">
      <c r="A68" t="s">
        <v>144</v>
      </c>
    </row>
    <row r="69" spans="1:4" x14ac:dyDescent="0.2">
      <c r="A69" t="s">
        <v>121</v>
      </c>
      <c r="B69">
        <v>5</v>
      </c>
      <c r="C69">
        <v>5</v>
      </c>
      <c r="D69">
        <v>5</v>
      </c>
    </row>
    <row r="70" spans="1:4" x14ac:dyDescent="0.2">
      <c r="A70" t="s">
        <v>115</v>
      </c>
      <c r="B70">
        <v>-1.837</v>
      </c>
      <c r="C70">
        <v>-1.837</v>
      </c>
      <c r="D70">
        <v>-1.837</v>
      </c>
    </row>
    <row r="71" spans="1:4" x14ac:dyDescent="0.2">
      <c r="A71" t="s">
        <v>116</v>
      </c>
      <c r="B71">
        <v>33.658000000000001</v>
      </c>
      <c r="C71">
        <v>26.791</v>
      </c>
      <c r="D71">
        <v>21.388999999999999</v>
      </c>
    </row>
    <row r="72" spans="1:4" x14ac:dyDescent="0.2">
      <c r="A72" t="s">
        <v>117</v>
      </c>
      <c r="B72">
        <v>-986</v>
      </c>
      <c r="C72">
        <v>-1.0349999999999999</v>
      </c>
      <c r="D72">
        <v>-484</v>
      </c>
    </row>
    <row r="73" spans="1:4" x14ac:dyDescent="0.2">
      <c r="A73" t="s">
        <v>118</v>
      </c>
      <c r="B73">
        <v>31.22</v>
      </c>
      <c r="C73">
        <v>19.625</v>
      </c>
      <c r="D73">
        <v>8.6359999999999992</v>
      </c>
    </row>
    <row r="74" spans="1:4" s="19" customFormat="1" x14ac:dyDescent="0.2">
      <c r="A74" s="19" t="s">
        <v>119</v>
      </c>
      <c r="B74" s="19">
        <v>62.06</v>
      </c>
      <c r="C74" s="19">
        <v>43.548999999999999</v>
      </c>
      <c r="D74" s="19">
        <v>27.709</v>
      </c>
    </row>
    <row r="75" spans="1:4" s="19" customFormat="1" x14ac:dyDescent="0.2">
      <c r="A75" s="19" t="s">
        <v>120</v>
      </c>
      <c r="B75" s="19">
        <v>225.24799999999999</v>
      </c>
      <c r="C75" s="19">
        <v>162.648</v>
      </c>
      <c r="D75" s="19">
        <v>131.31</v>
      </c>
    </row>
    <row r="76" spans="1:4" x14ac:dyDescent="0.2">
      <c r="A76" s="1"/>
      <c r="B76" s="10"/>
      <c r="C76" s="10"/>
      <c r="D76" s="10"/>
    </row>
    <row r="77" spans="1:4" x14ac:dyDescent="0.2">
      <c r="A77" s="1"/>
      <c r="B77" s="10"/>
      <c r="C77" s="10"/>
      <c r="D77" s="10"/>
    </row>
    <row r="78" spans="1:4" x14ac:dyDescent="0.2">
      <c r="A78" s="1"/>
      <c r="B78" s="26"/>
      <c r="C78" s="26"/>
      <c r="D78" s="26"/>
    </row>
    <row r="79" spans="1:4" x14ac:dyDescent="0.2">
      <c r="A79" s="9"/>
      <c r="B79" s="25"/>
      <c r="C79" s="25"/>
      <c r="D79" s="25"/>
    </row>
    <row r="80" spans="1:4" x14ac:dyDescent="0.2">
      <c r="B80" s="10"/>
      <c r="C80" s="10"/>
      <c r="D80" s="10"/>
    </row>
    <row r="81" spans="1:4" x14ac:dyDescent="0.2">
      <c r="B81" s="10"/>
      <c r="C81" s="10"/>
      <c r="D81" s="10"/>
    </row>
    <row r="82" spans="1:4" x14ac:dyDescent="0.2">
      <c r="A82" s="1"/>
      <c r="B82" s="10"/>
      <c r="C82" s="10"/>
      <c r="D82" s="10"/>
    </row>
    <row r="83" spans="1:4" x14ac:dyDescent="0.2">
      <c r="A83" s="1"/>
      <c r="B83" s="10"/>
      <c r="C83" s="10"/>
      <c r="D83" s="10"/>
    </row>
    <row r="84" spans="1:4" x14ac:dyDescent="0.2">
      <c r="A84" s="1"/>
      <c r="B84" s="10"/>
      <c r="C84" s="10"/>
      <c r="D84" s="10"/>
    </row>
    <row r="85" spans="1:4" x14ac:dyDescent="0.2">
      <c r="A85" s="9"/>
      <c r="B85" s="25"/>
      <c r="C85" s="25"/>
      <c r="D85" s="25"/>
    </row>
    <row r="86" spans="1:4" x14ac:dyDescent="0.2">
      <c r="A86" s="9"/>
      <c r="B86" s="25"/>
      <c r="C86" s="25"/>
      <c r="D86" s="25"/>
    </row>
    <row r="88" spans="1:4" x14ac:dyDescent="0.2">
      <c r="A88" s="33" t="s">
        <v>13</v>
      </c>
      <c r="B88" s="33"/>
      <c r="C88" s="33"/>
      <c r="D88" s="33"/>
    </row>
    <row r="89" spans="1:4" x14ac:dyDescent="0.2">
      <c r="B89" s="32" t="s">
        <v>57</v>
      </c>
      <c r="C89" s="32"/>
      <c r="D89" s="32"/>
    </row>
    <row r="90" spans="1:4" x14ac:dyDescent="0.2">
      <c r="B90" s="9">
        <v>2019</v>
      </c>
      <c r="C90" s="9">
        <v>2018</v>
      </c>
      <c r="D90" s="9">
        <v>2017</v>
      </c>
    </row>
    <row r="91" spans="1:4" s="9" customFormat="1" x14ac:dyDescent="0.2">
      <c r="A91" s="9" t="s">
        <v>146</v>
      </c>
      <c r="B91" s="9">
        <v>32.173000000000002</v>
      </c>
      <c r="C91" s="9">
        <v>21.856000000000002</v>
      </c>
      <c r="D91" s="9">
        <v>19.934000000000001</v>
      </c>
    </row>
    <row r="92" spans="1:4" s="9" customFormat="1" x14ac:dyDescent="0.2">
      <c r="A92" t="s">
        <v>64</v>
      </c>
    </row>
    <row r="93" spans="1:4" x14ac:dyDescent="0.2">
      <c r="A93" t="s">
        <v>81</v>
      </c>
      <c r="B93">
        <v>11.587999999999999</v>
      </c>
      <c r="C93">
        <v>10.073</v>
      </c>
      <c r="D93">
        <v>3.0329999999999999</v>
      </c>
    </row>
    <row r="94" spans="1:4" x14ac:dyDescent="0.2">
      <c r="A94" t="s">
        <v>147</v>
      </c>
      <c r="B94">
        <v>21.789000000000001</v>
      </c>
      <c r="C94">
        <v>15.340999999999999</v>
      </c>
      <c r="D94">
        <v>11.478</v>
      </c>
    </row>
    <row r="95" spans="1:4" x14ac:dyDescent="0.2">
      <c r="A95" t="s">
        <v>148</v>
      </c>
      <c r="B95">
        <v>6.8639999999999999</v>
      </c>
      <c r="C95">
        <v>5.4180000000000001</v>
      </c>
      <c r="D95">
        <v>4.2149999999999999</v>
      </c>
    </row>
    <row r="96" spans="1:4" x14ac:dyDescent="0.2">
      <c r="A96" t="s">
        <v>149</v>
      </c>
      <c r="B96">
        <v>164</v>
      </c>
      <c r="C96">
        <v>274</v>
      </c>
      <c r="D96">
        <v>202</v>
      </c>
    </row>
    <row r="97" spans="1:4" x14ac:dyDescent="0.2">
      <c r="A97" t="s">
        <v>150</v>
      </c>
      <c r="B97">
        <v>-249</v>
      </c>
      <c r="C97">
        <v>219</v>
      </c>
      <c r="D97">
        <v>-292</v>
      </c>
    </row>
    <row r="98" spans="1:4" x14ac:dyDescent="0.2">
      <c r="A98" t="s">
        <v>151</v>
      </c>
      <c r="B98">
        <v>796</v>
      </c>
      <c r="C98">
        <v>441</v>
      </c>
      <c r="D98">
        <v>-29</v>
      </c>
    </row>
    <row r="99" spans="1:4" x14ac:dyDescent="0.2">
      <c r="A99" t="s">
        <v>66</v>
      </c>
    </row>
    <row r="100" spans="1:4" x14ac:dyDescent="0.2">
      <c r="A100" t="s">
        <v>152</v>
      </c>
      <c r="B100">
        <v>-3.278</v>
      </c>
      <c r="C100">
        <v>-1.3140000000000001</v>
      </c>
      <c r="D100">
        <v>-3.5830000000000002</v>
      </c>
    </row>
    <row r="101" spans="1:4" x14ac:dyDescent="0.2">
      <c r="A101" t="s">
        <v>153</v>
      </c>
      <c r="B101">
        <v>-7.681</v>
      </c>
      <c r="C101">
        <v>-4.6150000000000002</v>
      </c>
      <c r="D101">
        <v>-4.78</v>
      </c>
    </row>
    <row r="102" spans="1:4" x14ac:dyDescent="0.2">
      <c r="A102" t="s">
        <v>154</v>
      </c>
      <c r="B102">
        <v>8.1929999999999996</v>
      </c>
      <c r="C102">
        <v>3.2629999999999999</v>
      </c>
      <c r="D102">
        <v>7.1</v>
      </c>
    </row>
    <row r="103" spans="1:4" x14ac:dyDescent="0.2">
      <c r="A103" t="s">
        <v>155</v>
      </c>
      <c r="B103">
        <v>-1.383</v>
      </c>
      <c r="C103">
        <v>472</v>
      </c>
      <c r="D103">
        <v>283</v>
      </c>
    </row>
    <row r="104" spans="1:4" x14ac:dyDescent="0.2">
      <c r="A104" t="s">
        <v>156</v>
      </c>
      <c r="B104">
        <v>1.7110000000000001</v>
      </c>
      <c r="C104">
        <v>1.151</v>
      </c>
      <c r="D104">
        <v>738</v>
      </c>
    </row>
    <row r="105" spans="1:4" s="11" customFormat="1" x14ac:dyDescent="0.2">
      <c r="A105" s="11" t="s">
        <v>72</v>
      </c>
      <c r="B105" s="11">
        <v>38.514000000000003</v>
      </c>
      <c r="C105" s="11">
        <v>30.722999999999999</v>
      </c>
      <c r="D105" s="11">
        <v>18.364999999999998</v>
      </c>
    </row>
    <row r="106" spans="1:4" x14ac:dyDescent="0.2">
      <c r="A106" s="9" t="s">
        <v>73</v>
      </c>
    </row>
    <row r="107" spans="1:4" x14ac:dyDescent="0.2">
      <c r="A107" t="s">
        <v>157</v>
      </c>
      <c r="B107">
        <v>-16.861000000000001</v>
      </c>
      <c r="C107">
        <v>-13.427</v>
      </c>
      <c r="D107">
        <v>-11.955</v>
      </c>
    </row>
    <row r="108" spans="1:4" x14ac:dyDescent="0.2">
      <c r="A108" t="s">
        <v>158</v>
      </c>
      <c r="B108">
        <v>4.1719999999999997</v>
      </c>
      <c r="C108">
        <v>2.1040000000000001</v>
      </c>
      <c r="D108">
        <v>1.897</v>
      </c>
    </row>
    <row r="109" spans="1:4" x14ac:dyDescent="0.2">
      <c r="A109" t="s">
        <v>159</v>
      </c>
      <c r="B109">
        <v>-2.4609999999999999</v>
      </c>
      <c r="C109">
        <v>-2.1859999999999999</v>
      </c>
      <c r="D109">
        <v>-13.972</v>
      </c>
    </row>
    <row r="110" spans="1:4" x14ac:dyDescent="0.2">
      <c r="A110" t="s">
        <v>160</v>
      </c>
      <c r="B110">
        <v>22.681000000000001</v>
      </c>
      <c r="C110">
        <v>8.24</v>
      </c>
      <c r="D110">
        <v>9.6769999999999996</v>
      </c>
    </row>
    <row r="111" spans="1:4" x14ac:dyDescent="0.2">
      <c r="A111" t="s">
        <v>161</v>
      </c>
      <c r="B111">
        <v>-31.812000000000001</v>
      </c>
      <c r="C111">
        <v>-7.1</v>
      </c>
      <c r="D111">
        <v>-12.731</v>
      </c>
    </row>
    <row r="112" spans="1:4" s="11" customFormat="1" ht="14" customHeight="1" x14ac:dyDescent="0.2">
      <c r="A112" s="11" t="s">
        <v>74</v>
      </c>
      <c r="B112" s="11">
        <v>-24.280999999999999</v>
      </c>
      <c r="C112" s="11">
        <v>-12.369</v>
      </c>
      <c r="D112" s="11">
        <v>-27.084</v>
      </c>
    </row>
    <row r="113" spans="1:4" x14ac:dyDescent="0.2">
      <c r="A113" s="9" t="s">
        <v>75</v>
      </c>
    </row>
    <row r="114" spans="1:4" x14ac:dyDescent="0.2">
      <c r="A114" t="s">
        <v>162</v>
      </c>
      <c r="B114">
        <v>871</v>
      </c>
      <c r="C114">
        <v>768</v>
      </c>
      <c r="D114">
        <v>16.228000000000002</v>
      </c>
    </row>
    <row r="115" spans="1:4" x14ac:dyDescent="0.2">
      <c r="A115" t="s">
        <v>163</v>
      </c>
      <c r="B115">
        <v>-1.1659999999999999</v>
      </c>
      <c r="C115">
        <v>-668</v>
      </c>
      <c r="D115">
        <v>-1.3009999999999999</v>
      </c>
    </row>
    <row r="116" spans="1:4" x14ac:dyDescent="0.2">
      <c r="A116" t="s">
        <v>164</v>
      </c>
      <c r="B116">
        <v>1.4019999999999999</v>
      </c>
    </row>
    <row r="117" spans="1:4" x14ac:dyDescent="0.2">
      <c r="A117" t="s">
        <v>165</v>
      </c>
      <c r="B117">
        <v>-1.518</v>
      </c>
    </row>
    <row r="118" spans="1:4" x14ac:dyDescent="0.2">
      <c r="A118" t="s">
        <v>166</v>
      </c>
      <c r="B118">
        <v>-9.6280000000000001</v>
      </c>
      <c r="C118">
        <v>-7.4489999999999998</v>
      </c>
      <c r="D118">
        <v>-4.7990000000000004</v>
      </c>
    </row>
    <row r="119" spans="1:4" x14ac:dyDescent="0.2">
      <c r="A119" t="s">
        <v>167</v>
      </c>
      <c r="B119">
        <v>-27</v>
      </c>
      <c r="C119">
        <v>-337</v>
      </c>
      <c r="D119">
        <v>-200</v>
      </c>
    </row>
    <row r="120" spans="1:4" s="19" customFormat="1" x14ac:dyDescent="0.2">
      <c r="A120" s="19" t="s">
        <v>76</v>
      </c>
      <c r="B120" s="19">
        <v>-10.066000000000001</v>
      </c>
      <c r="C120" s="19">
        <v>-7.6859999999999999</v>
      </c>
      <c r="D120" s="19">
        <v>9.9280000000000008</v>
      </c>
    </row>
    <row r="121" spans="1:4" x14ac:dyDescent="0.2">
      <c r="A121" t="s">
        <v>77</v>
      </c>
      <c r="B121">
        <v>70</v>
      </c>
      <c r="C121">
        <v>-351</v>
      </c>
      <c r="D121">
        <v>713</v>
      </c>
    </row>
    <row r="122" spans="1:4" s="19" customFormat="1" x14ac:dyDescent="0.2">
      <c r="A122" s="19" t="s">
        <v>78</v>
      </c>
      <c r="B122" s="19">
        <v>4.2370000000000001</v>
      </c>
      <c r="C122" s="19">
        <v>10.317</v>
      </c>
      <c r="D122" s="19">
        <v>1.9219999999999999</v>
      </c>
    </row>
    <row r="123" spans="1:4" s="19" customFormat="1" x14ac:dyDescent="0.2">
      <c r="A123" s="19" t="s">
        <v>79</v>
      </c>
      <c r="B123" s="19">
        <v>36410</v>
      </c>
      <c r="C123" s="19">
        <v>32.173000000000002</v>
      </c>
      <c r="D123" s="19">
        <v>21.856000000000002</v>
      </c>
    </row>
    <row r="124" spans="1:4" x14ac:dyDescent="0.2">
      <c r="A124" t="s">
        <v>83</v>
      </c>
      <c r="B124" s="25"/>
      <c r="C124">
        <v>854</v>
      </c>
      <c r="D124">
        <v>328</v>
      </c>
    </row>
    <row r="125" spans="1:4" x14ac:dyDescent="0.2">
      <c r="A125" t="s">
        <v>84</v>
      </c>
      <c r="B125" s="10"/>
      <c r="C125">
        <v>575</v>
      </c>
      <c r="D125">
        <v>319</v>
      </c>
    </row>
    <row r="126" spans="1:4" x14ac:dyDescent="0.2">
      <c r="A126" t="s">
        <v>80</v>
      </c>
      <c r="B126" s="10"/>
      <c r="C126">
        <v>1.1839999999999999</v>
      </c>
      <c r="D126">
        <v>957</v>
      </c>
    </row>
    <row r="127" spans="1:4" x14ac:dyDescent="0.2">
      <c r="A127" t="s">
        <v>85</v>
      </c>
      <c r="B127" s="10"/>
      <c r="C127">
        <v>10.615</v>
      </c>
      <c r="D127">
        <v>9.6370000000000005</v>
      </c>
    </row>
    <row r="128" spans="1:4" x14ac:dyDescent="0.2">
      <c r="A128" t="s">
        <v>86</v>
      </c>
      <c r="B128" s="10"/>
      <c r="C128">
        <v>3.641</v>
      </c>
      <c r="D128">
        <v>3.5409999999999999</v>
      </c>
    </row>
    <row r="129" spans="1:4" x14ac:dyDescent="0.2">
      <c r="A129" s="1"/>
      <c r="B129" s="10"/>
      <c r="C129" s="10"/>
      <c r="D129" s="10"/>
    </row>
    <row r="130" spans="1:4" x14ac:dyDescent="0.2">
      <c r="A130" s="1"/>
      <c r="B130" s="10"/>
      <c r="C130" s="10"/>
      <c r="D130" s="10"/>
    </row>
    <row r="131" spans="1:4" x14ac:dyDescent="0.2">
      <c r="A131" s="1"/>
      <c r="B131" s="10"/>
      <c r="C131" s="10"/>
      <c r="D131" s="10"/>
    </row>
    <row r="132" spans="1:4" x14ac:dyDescent="0.2">
      <c r="A132" s="1"/>
      <c r="B132" s="10"/>
      <c r="C132" s="10"/>
      <c r="D132" s="10"/>
    </row>
    <row r="133" spans="1:4" ht="11" customHeight="1" x14ac:dyDescent="0.2">
      <c r="A133" s="1"/>
      <c r="B133" s="10"/>
      <c r="C133" s="10"/>
      <c r="D133" s="10"/>
    </row>
    <row r="134" spans="1:4" x14ac:dyDescent="0.2">
      <c r="A134" s="9"/>
      <c r="B134" s="25"/>
      <c r="C134" s="25"/>
      <c r="D134" s="25"/>
    </row>
    <row r="135" spans="1:4" x14ac:dyDescent="0.2">
      <c r="A135" s="9"/>
      <c r="B135" s="25"/>
      <c r="C135" s="25"/>
      <c r="D135" s="25"/>
    </row>
    <row r="136" spans="1:4" x14ac:dyDescent="0.2">
      <c r="A136" s="9"/>
      <c r="B136" s="25"/>
      <c r="C136" s="25"/>
      <c r="D136" s="25"/>
    </row>
    <row r="137" spans="1:4" x14ac:dyDescent="0.2">
      <c r="B137" s="10"/>
      <c r="C137" s="10"/>
      <c r="D137" s="10"/>
    </row>
    <row r="138" spans="1:4" x14ac:dyDescent="0.2">
      <c r="B138" s="10"/>
      <c r="C138" s="10"/>
      <c r="D138" s="10"/>
    </row>
    <row r="139" spans="1:4" x14ac:dyDescent="0.2">
      <c r="B139" s="10"/>
      <c r="C139" s="10"/>
      <c r="D139" s="10"/>
    </row>
    <row r="140" spans="1:4" x14ac:dyDescent="0.2">
      <c r="B140" s="10"/>
      <c r="C140" s="10"/>
      <c r="D140" s="10"/>
    </row>
  </sheetData>
  <mergeCells count="6">
    <mergeCell ref="B89:D89"/>
    <mergeCell ref="A2:D2"/>
    <mergeCell ref="B3:D3"/>
    <mergeCell ref="A39:D39"/>
    <mergeCell ref="B40:D40"/>
    <mergeCell ref="A88:D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workbookViewId="0">
      <selection activeCell="C84" sqref="C84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7.83203125" customWidth="1"/>
    <col min="4" max="4" width="17.1640625" customWidth="1"/>
    <col min="5" max="5" width="18.1640625" customWidth="1"/>
  </cols>
  <sheetData>
    <row r="1" spans="1:10" ht="60" customHeight="1" x14ac:dyDescent="0.3">
      <c r="A1" s="7"/>
      <c r="B1" s="14" t="s">
        <v>59</v>
      </c>
      <c r="C1" s="15"/>
      <c r="D1" s="15"/>
      <c r="E1" s="15"/>
      <c r="F1" s="15"/>
      <c r="G1" s="15"/>
      <c r="H1" s="15"/>
      <c r="I1" s="15"/>
      <c r="J1" s="15"/>
    </row>
    <row r="2" spans="1:10" x14ac:dyDescent="0.2">
      <c r="C2" s="32" t="s">
        <v>60</v>
      </c>
      <c r="D2" s="32"/>
      <c r="E2" s="32"/>
    </row>
    <row r="3" spans="1:10" x14ac:dyDescent="0.2">
      <c r="C3" s="9">
        <v>2019</v>
      </c>
      <c r="D3" s="9">
        <v>2018</v>
      </c>
      <c r="E3" s="9">
        <v>2017</v>
      </c>
    </row>
    <row r="4" spans="1:10" x14ac:dyDescent="0.2">
      <c r="A4" s="16">
        <v>1</v>
      </c>
      <c r="B4" s="9" t="s">
        <v>14</v>
      </c>
    </row>
    <row r="5" spans="1:10" x14ac:dyDescent="0.2">
      <c r="A5" s="16">
        <f>+A4+0.1</f>
        <v>1.1000000000000001</v>
      </c>
      <c r="B5" s="1" t="s">
        <v>15</v>
      </c>
      <c r="C5" s="24">
        <f>('Financial Statements'!B47)/('Financial Statements'!B60)</f>
        <v>1.0970482394205805</v>
      </c>
      <c r="D5" s="24">
        <f>('Financial Statements'!C47)/('Financial Statements'!C60)</f>
        <v>1.0981123247210889</v>
      </c>
      <c r="E5" s="24">
        <f>('Financial Statements'!D47)/('Financial Statements'!D60)</f>
        <v>0.93063593801288802</v>
      </c>
    </row>
    <row r="6" spans="1:10" x14ac:dyDescent="0.2">
      <c r="A6" s="16">
        <f t="shared" ref="A6:A13" si="0">+A5+0.1</f>
        <v>1.2000000000000002</v>
      </c>
      <c r="B6" s="1" t="s">
        <v>16</v>
      </c>
      <c r="C6" s="24">
        <f>('Financial Statements'!B47-'Financial Statements'!B45)/('Financial Statements'!B60)</f>
        <v>0.86362911674941922</v>
      </c>
      <c r="D6" s="24">
        <f>('Financial Statements'!C47-'Financial Statements'!C45)/('Financial Statements'!C60)</f>
        <v>0.84699741194016753</v>
      </c>
      <c r="E6" s="24">
        <f>('Financial Statements'!D47-'Financial Statements'!D45)/('Financial Statements'!D60)</f>
        <v>0.65340428104970361</v>
      </c>
    </row>
    <row r="7" spans="1:10" x14ac:dyDescent="0.2">
      <c r="A7" s="16">
        <f t="shared" si="0"/>
        <v>1.3000000000000003</v>
      </c>
      <c r="B7" s="1" t="s">
        <v>17</v>
      </c>
      <c r="C7" s="24">
        <f>('Financial Statements'!B43+'Financial Statements'!B44)/'Financial Statements'!B60</f>
        <v>0.62657723317997538</v>
      </c>
      <c r="D7" s="24">
        <f>('Financial Statements'!C43+'Financial Statements'!C44)/'Financial Statements'!C60</f>
        <v>0.60314953721980957</v>
      </c>
      <c r="E7" s="24">
        <f>('Financial Statements'!D43+'Financial Statements'!D44)/'Financial Statements'!D60</f>
        <v>0.5353212514900747</v>
      </c>
    </row>
    <row r="8" spans="1:10" x14ac:dyDescent="0.2">
      <c r="A8" s="16">
        <f t="shared" si="0"/>
        <v>1.4000000000000004</v>
      </c>
      <c r="B8" s="1" t="s">
        <v>18</v>
      </c>
      <c r="C8" s="27">
        <f>('Financial Statements'!B43+'Financial Statements'!B44+'Financial Statements'!B46)/(('Financial Statements'!B20)/365)</f>
        <v>104.06948240663807</v>
      </c>
      <c r="D8" s="27">
        <f>('Financial Statements'!C43+'Financial Statements'!C44+'Financial Statements'!C46)/(('Financial Statements'!C20)/365)</f>
        <v>95.903019059628249</v>
      </c>
      <c r="E8" s="27">
        <f>('Financial Statements'!D43+'Financial Statements'!D44+'Financial Statements'!D46)/(('Financial Statements'!D20)/365)</f>
        <v>92.741424953959481</v>
      </c>
    </row>
    <row r="9" spans="1:10" x14ac:dyDescent="0.2">
      <c r="A9" s="16">
        <f t="shared" si="0"/>
        <v>1.5000000000000004</v>
      </c>
      <c r="B9" s="1" t="s">
        <v>19</v>
      </c>
      <c r="C9" s="27">
        <f>('Financial Statements'!B45)/(('Financial Statements'!B8)/365)</f>
        <v>26.669583847256188</v>
      </c>
      <c r="D9" s="27">
        <f>('Financial Statements'!C45)/(('Financial Statements'!C8)/365)</f>
        <v>26.916530334454045</v>
      </c>
      <c r="E9" s="27">
        <f>('Financial Statements'!D45)/(('Financial Statements'!D8)/365)</f>
        <v>32.930155285439596</v>
      </c>
    </row>
    <row r="10" spans="1:10" x14ac:dyDescent="0.2">
      <c r="A10" s="16">
        <f t="shared" si="0"/>
        <v>1.6000000000000005</v>
      </c>
      <c r="B10" s="1" t="s">
        <v>20</v>
      </c>
      <c r="C10" s="27">
        <f>('Financial Statements'!B57)/(('Financial Statements'!B8)/365)</f>
        <v>0</v>
      </c>
      <c r="D10" s="27">
        <f>('Financial Statements'!C57)/(('Financial Statements'!C8)/365)</f>
        <v>0</v>
      </c>
      <c r="E10" s="27">
        <f>('Financial Statements'!D57)/(('Financial Statements'!D8)/365)</f>
        <v>0</v>
      </c>
    </row>
    <row r="11" spans="1:10" x14ac:dyDescent="0.2">
      <c r="A11" s="16">
        <f t="shared" si="0"/>
        <v>1.7000000000000006</v>
      </c>
      <c r="B11" s="1" t="s">
        <v>21</v>
      </c>
      <c r="C11" s="27">
        <f>('Financial Statements'!B46)/(('Financial Statements'!B8)/365)</f>
        <v>27.084649332316182</v>
      </c>
      <c r="D11" s="27">
        <f>('Financial Statements'!C46)/(('Financial Statements'!C8)/365)</f>
        <v>26.137590333509383</v>
      </c>
      <c r="E11" s="27">
        <f>('Financial Statements'!D46)/(('Financial Statements'!D8)/365)</f>
        <v>27.013931836326222</v>
      </c>
    </row>
    <row r="12" spans="1:10" x14ac:dyDescent="0.2">
      <c r="A12" s="16">
        <f t="shared" si="0"/>
        <v>1.8000000000000007</v>
      </c>
      <c r="B12" s="1" t="s">
        <v>22</v>
      </c>
      <c r="C12" s="27">
        <f>(C11+C9)-C10</f>
        <v>53.754233179572367</v>
      </c>
      <c r="D12" s="27">
        <f t="shared" ref="D12:E12" si="1">(D11+D9)-D10</f>
        <v>53.054120667963431</v>
      </c>
      <c r="E12" s="27">
        <f t="shared" si="1"/>
        <v>59.944087121765818</v>
      </c>
    </row>
    <row r="13" spans="1:10" x14ac:dyDescent="0.2">
      <c r="A13" s="16">
        <f t="shared" si="0"/>
        <v>1.9000000000000008</v>
      </c>
      <c r="B13" s="1" t="s">
        <v>23</v>
      </c>
      <c r="C13" s="28">
        <f>('Financial Statements'!B47-'Financial Statements'!B60)/'Financial Statements'!B8</f>
        <v>3.0379079002716386E-2</v>
      </c>
      <c r="D13" s="28">
        <f>('Financial Statements'!C47-'Financial Statements'!C60)/'Financial Statements'!C8</f>
        <v>2.881225658795894E-2</v>
      </c>
      <c r="E13" s="28">
        <f>('Financial Statements'!D47-'Financial Statements'!D60)/'Financial Statements'!D8</f>
        <v>-2.2573173062867553E-2</v>
      </c>
    </row>
    <row r="14" spans="1:10" x14ac:dyDescent="0.2">
      <c r="A14" s="16"/>
      <c r="B14" s="13" t="s">
        <v>24</v>
      </c>
      <c r="C14">
        <f>('Financial Statements'!B47-'Financial Statements'!B60)</f>
        <v>8.5220000000000056</v>
      </c>
      <c r="D14">
        <f>('Financial Statements'!C47-'Financial Statements'!C60)</f>
        <v>6.7099999999999937</v>
      </c>
      <c r="E14">
        <f>('Financial Statements'!D47-'Financial Statements'!D60)</f>
        <v>-4.0150000000000006</v>
      </c>
    </row>
    <row r="15" spans="1:10" x14ac:dyDescent="0.2">
      <c r="A15" s="16"/>
    </row>
    <row r="16" spans="1:10" x14ac:dyDescent="0.2">
      <c r="A16" s="16">
        <f>+A4+1</f>
        <v>2</v>
      </c>
      <c r="B16" s="17" t="s">
        <v>25</v>
      </c>
    </row>
    <row r="17" spans="1:5" x14ac:dyDescent="0.2">
      <c r="A17" s="16">
        <f>+A16+0.1</f>
        <v>2.1</v>
      </c>
      <c r="B17" s="1" t="s">
        <v>11</v>
      </c>
      <c r="C17">
        <f>('Financial Statements'!B8-'Financial Statements'!B12)</f>
        <v>114.98599999999999</v>
      </c>
      <c r="D17">
        <f>('Financial Statements'!C8-'Financial Statements'!C12)</f>
        <v>93.730999999999995</v>
      </c>
      <c r="E17">
        <f>('Financial Statements'!D8-'Financial Statements'!D12)</f>
        <v>65.932000000000016</v>
      </c>
    </row>
    <row r="18" spans="1:5" x14ac:dyDescent="0.2">
      <c r="A18" s="16">
        <f>+A17+0.1</f>
        <v>2.2000000000000002</v>
      </c>
      <c r="B18" s="1" t="s">
        <v>26</v>
      </c>
      <c r="C18" s="28">
        <f>C19/'Financial Statements'!B8</f>
        <v>0.12950855904349748</v>
      </c>
      <c r="D18" s="28">
        <f>D19/'Financial Statements'!C8</f>
        <v>0.11920802792770743</v>
      </c>
      <c r="E18" s="28">
        <f>E19/'Financial Statements'!D8</f>
        <v>8.7616520301800227E-2</v>
      </c>
    </row>
    <row r="19" spans="1:5" x14ac:dyDescent="0.2">
      <c r="A19" s="16"/>
      <c r="B19" s="13" t="s">
        <v>27</v>
      </c>
      <c r="C19">
        <f>('Financial Statements'!B21+'Financial Statements'!B94)</f>
        <v>36.33</v>
      </c>
      <c r="D19">
        <f>('Financial Statements'!C21+'Financial Statements'!C94)</f>
        <v>27.762</v>
      </c>
      <c r="E19">
        <f>('Financial Statements'!D21+'Financial Statements'!D94)</f>
        <v>15.584</v>
      </c>
    </row>
    <row r="20" spans="1:5" x14ac:dyDescent="0.2">
      <c r="A20" s="16">
        <f>+A18+0.1</f>
        <v>2.3000000000000003</v>
      </c>
      <c r="B20" s="1" t="s">
        <v>28</v>
      </c>
      <c r="C20" s="28">
        <f>(C21/'Financial Statements'!B8)</f>
        <v>5.1835506662579051E-2</v>
      </c>
      <c r="D20" s="28">
        <f>(D21/'Financial Statements'!C8)</f>
        <v>5.3334879147397665E-2</v>
      </c>
      <c r="E20" s="28">
        <f>(E21/'Financial Statements'!D8)</f>
        <v>2.3084794170892691E-2</v>
      </c>
    </row>
    <row r="21" spans="1:5" x14ac:dyDescent="0.2">
      <c r="A21" s="16"/>
      <c r="B21" s="13" t="s">
        <v>29</v>
      </c>
      <c r="C21">
        <f xml:space="preserve"> 'Financial Statements'!B21</f>
        <v>14.541</v>
      </c>
      <c r="D21">
        <f xml:space="preserve"> 'Financial Statements'!C21</f>
        <v>12.420999999999999</v>
      </c>
      <c r="E21">
        <f xml:space="preserve"> 'Financial Statements'!D21</f>
        <v>4.1059999999999999</v>
      </c>
    </row>
    <row r="22" spans="1:5" x14ac:dyDescent="0.2">
      <c r="A22" s="16">
        <f>+A20+0.1</f>
        <v>2.4000000000000004</v>
      </c>
      <c r="B22" s="1" t="s">
        <v>30</v>
      </c>
      <c r="C22" s="28">
        <f>('Financial Statements'!B29)/('Financial Statements'!B8)</f>
        <v>4.1308703060722506E-2</v>
      </c>
      <c r="D22" s="28">
        <f>('Financial Statements'!C29)/('Financial Statements'!C8)</f>
        <v>4.3252736305590268E-2</v>
      </c>
      <c r="E22" s="28">
        <f>('Financial Statements'!D29)/('Financial Statements'!D8)</f>
        <v>1.7052162864178648E-2</v>
      </c>
    </row>
    <row r="23" spans="1:5" x14ac:dyDescent="0.2">
      <c r="A23" s="16"/>
    </row>
    <row r="24" spans="1:5" x14ac:dyDescent="0.2">
      <c r="A24" s="16">
        <f>+A16+1</f>
        <v>3</v>
      </c>
      <c r="B24" s="9" t="s">
        <v>31</v>
      </c>
    </row>
    <row r="25" spans="1:5" x14ac:dyDescent="0.2">
      <c r="A25" s="16">
        <f>+A24+0.1</f>
        <v>3.1</v>
      </c>
      <c r="B25" s="1" t="s">
        <v>32</v>
      </c>
      <c r="C25" s="24">
        <f>'Financial Statements'!B66/'Financial Statements'!B74</f>
        <v>2.6295198195294871</v>
      </c>
      <c r="D25" s="24">
        <f>'Financial Statements'!C66/'Financial Statements'!C74</f>
        <v>2.7348274357620155</v>
      </c>
      <c r="E25" s="24">
        <f>'Financial Statements'!D66/'Financial Statements'!D74</f>
        <v>3.7388935003067596</v>
      </c>
    </row>
    <row r="26" spans="1:5" x14ac:dyDescent="0.2">
      <c r="A26" s="16">
        <f t="shared" ref="A26:A30" si="2">+A25+0.1</f>
        <v>3.2</v>
      </c>
      <c r="B26" s="1" t="s">
        <v>33</v>
      </c>
      <c r="C26" s="24">
        <f>'Financial Statements'!B66/'Financial Statements'!B54</f>
        <v>0.72448146043472084</v>
      </c>
      <c r="D26" s="24">
        <f>'Financial Statements'!C66/'Financial Statements'!C54</f>
        <v>0.73225001229649311</v>
      </c>
      <c r="E26" s="24">
        <f>'Financial Statements'!D66/'Financial Statements'!D54</f>
        <v>0.78898027568349705</v>
      </c>
    </row>
    <row r="27" spans="1:5" x14ac:dyDescent="0.2">
      <c r="A27" s="16">
        <f t="shared" si="2"/>
        <v>3.3000000000000003</v>
      </c>
      <c r="B27" s="1" t="s">
        <v>34</v>
      </c>
      <c r="C27" s="24">
        <f>'Financial Statements'!B63/('Financial Statements'!B63+'Financial Statements'!B74)</f>
        <v>0.27393125394856915</v>
      </c>
      <c r="D27" s="24">
        <f>'Financial Statements'!C63/('Financial Statements'!C63+'Financial Statements'!C74)</f>
        <v>0.35044150110375277</v>
      </c>
      <c r="E27" s="24">
        <f>'Financial Statements'!D63/('Financial Statements'!D63+'Financial Statements'!D74)</f>
        <v>0.47172653092351102</v>
      </c>
    </row>
    <row r="28" spans="1:5" x14ac:dyDescent="0.2">
      <c r="A28" s="16">
        <f t="shared" si="2"/>
        <v>3.4000000000000004</v>
      </c>
      <c r="B28" s="1" t="s">
        <v>35</v>
      </c>
      <c r="C28" s="27">
        <f>C21/(-'Financial Statements'!B23)</f>
        <v>9.0881249999999998</v>
      </c>
      <c r="D28" s="27">
        <f>D21/(-'Financial Statements'!C23)</f>
        <v>8.7657021877205352</v>
      </c>
      <c r="E28" s="27">
        <f>E21/(-'Financial Statements'!D23)</f>
        <v>4.8419811320754716E-3</v>
      </c>
    </row>
    <row r="29" spans="1:5" x14ac:dyDescent="0.2">
      <c r="A29" s="16">
        <f t="shared" si="2"/>
        <v>3.5000000000000004</v>
      </c>
      <c r="B29" s="1" t="s">
        <v>36</v>
      </c>
      <c r="C29" s="24">
        <f>C21/(-'Financial Statements'!B23)</f>
        <v>9.0881249999999998</v>
      </c>
      <c r="D29" s="24">
        <f>D21/(-'Financial Statements'!C23)</f>
        <v>8.7657021877205352</v>
      </c>
      <c r="E29" s="24">
        <f>E21/(-'Financial Statements'!D23)</f>
        <v>4.8419811320754716E-3</v>
      </c>
    </row>
    <row r="30" spans="1:5" x14ac:dyDescent="0.2">
      <c r="A30" s="16">
        <f t="shared" si="2"/>
        <v>3.6000000000000005</v>
      </c>
      <c r="B30" s="1" t="s">
        <v>37</v>
      </c>
      <c r="C30" s="24">
        <f>(C31*1000)/'Financial Statements'!B35</f>
        <v>1689.3214285714287</v>
      </c>
      <c r="D30" s="24">
        <f>(D31*1000)/'Financial Statements'!C35</f>
        <v>-443.47400000000005</v>
      </c>
      <c r="E30" s="24">
        <f>(E31*1000)/'Financial Statements'!D35</f>
        <v>-388.09533468559846</v>
      </c>
    </row>
    <row r="31" spans="1:5" x14ac:dyDescent="0.2">
      <c r="A31" s="16"/>
      <c r="B31" s="13" t="s">
        <v>38</v>
      </c>
      <c r="C31">
        <f>'Financial Statements'!B29+'Financial Statements'!B94+('Financial Statements'!B119+'Financial Statements'!B118)+('Financial Statements'!B117+'Financial Statements'!B116)+('Financial Statements'!B115+'Financial Statements'!B114)+('Financial Statements'!B107)-(('List of Ratios'!D14-'List of Ratios'!C14))</f>
        <v>851.41800000000001</v>
      </c>
      <c r="D31">
        <f>'Financial Statements'!C29+'Financial Statements'!C94+('Financial Statements'!C119+'Financial Statements'!C118)+('Financial Statements'!C117+'Financial Statements'!C116)+('Financial Statements'!C115+'Financial Statements'!C114)+('Financial Statements'!C107)-(('List of Ratios'!E14-'List of Ratios'!D14))</f>
        <v>-221.73700000000002</v>
      </c>
      <c r="E31">
        <f>'Financial Statements'!D29+'Financial Statements'!D94+('Financial Statements'!D119+'Financial Statements'!D118)+('Financial Statements'!D117+'Financial Statements'!D116)+('Financial Statements'!D115+'Financial Statements'!D114)+('Financial Statements'!D107)-(('List of Ratios'!F14-'List of Ratios'!E14))</f>
        <v>-191.33100000000002</v>
      </c>
    </row>
    <row r="32" spans="1:5" x14ac:dyDescent="0.2">
      <c r="A32" s="16"/>
    </row>
    <row r="33" spans="1:5" x14ac:dyDescent="0.2">
      <c r="A33" s="16">
        <f>+A24+1</f>
        <v>4</v>
      </c>
      <c r="B33" s="17" t="s">
        <v>39</v>
      </c>
    </row>
    <row r="34" spans="1:5" x14ac:dyDescent="0.2">
      <c r="A34" s="16">
        <f>+A33+0.1</f>
        <v>4.0999999999999996</v>
      </c>
      <c r="B34" s="1" t="s">
        <v>40</v>
      </c>
      <c r="C34" s="24">
        <f>'Financial Statements'!B8/'Financial Statements'!B54</f>
        <v>1.2453917459866459</v>
      </c>
      <c r="D34" s="24">
        <f>'Financial Statements'!C8/'Financial Statements'!C54</f>
        <v>1.431846687324775</v>
      </c>
      <c r="E34" s="24">
        <f>'Financial Statements'!D8/'Financial Statements'!D54</f>
        <v>1.3545503008148656</v>
      </c>
    </row>
    <row r="35" spans="1:5" x14ac:dyDescent="0.2">
      <c r="A35" s="16">
        <f t="shared" ref="A35:A37" si="3">+A34+0.1</f>
        <v>4.1999999999999993</v>
      </c>
      <c r="B35" s="1" t="s">
        <v>41</v>
      </c>
      <c r="C35" s="24">
        <f>'Financial Statements'!B8/'Financial Statements'!B49</f>
        <v>3.8583591224812599</v>
      </c>
      <c r="D35" s="24">
        <f>'Financial Statements'!C8/'Financial Statements'!C49</f>
        <v>3.7685809990776251</v>
      </c>
      <c r="E35" s="24">
        <f>'Financial Statements'!D8/'Financial Statements'!D49</f>
        <v>3.639872303851349</v>
      </c>
    </row>
    <row r="36" spans="1:5" x14ac:dyDescent="0.2">
      <c r="A36" s="16">
        <f t="shared" si="3"/>
        <v>4.2999999999999989</v>
      </c>
      <c r="B36" s="1" t="s">
        <v>42</v>
      </c>
      <c r="C36" s="24">
        <f>'Financial Statements'!B8/'Financial Statements'!B45</f>
        <v>13.686002829682392</v>
      </c>
      <c r="D36" s="24">
        <f>'Financial Statements'!C8/'Financial Statements'!C45</f>
        <v>13.560440200302784</v>
      </c>
      <c r="E36" s="24">
        <f>'Financial Statements'!D8/'Financial Statements'!D45</f>
        <v>11.084065557425065</v>
      </c>
    </row>
    <row r="37" spans="1:5" x14ac:dyDescent="0.2">
      <c r="A37" s="16">
        <f t="shared" si="3"/>
        <v>4.3999999999999986</v>
      </c>
      <c r="B37" s="1" t="s">
        <v>43</v>
      </c>
      <c r="C37" s="28">
        <f>'Financial Statements'!B29/'Financial Statements'!B54</f>
        <v>5.1445517829237106E-2</v>
      </c>
      <c r="D37" s="28">
        <f>'Financial Statements'!C29/'Financial Statements'!C54</f>
        <v>6.1931287196891449E-2</v>
      </c>
      <c r="E37" s="28">
        <f>'Financial Statements'!D29/'Financial Statements'!D54</f>
        <v>2.3098012337217273E-2</v>
      </c>
    </row>
    <row r="38" spans="1:5" x14ac:dyDescent="0.2">
      <c r="A38" s="16"/>
    </row>
    <row r="39" spans="1:5" x14ac:dyDescent="0.2">
      <c r="A39" s="16">
        <f>+A33+1</f>
        <v>5</v>
      </c>
      <c r="B39" s="17" t="s">
        <v>44</v>
      </c>
    </row>
    <row r="40" spans="1:5" x14ac:dyDescent="0.2">
      <c r="A40" s="16">
        <f>+A39+0.1</f>
        <v>5.0999999999999996</v>
      </c>
      <c r="B40" s="1" t="s">
        <v>45</v>
      </c>
      <c r="C40" s="24">
        <f>92.39/C41</f>
        <v>4.0183431135657584</v>
      </c>
      <c r="D40" s="24">
        <f t="shared" ref="D40:E40" si="4">92.39/D41</f>
        <v>4.5860220391144644</v>
      </c>
      <c r="E40" s="24">
        <f t="shared" si="4"/>
        <v>15.017563468513023</v>
      </c>
    </row>
    <row r="41" spans="1:5" x14ac:dyDescent="0.2">
      <c r="A41" s="16">
        <f t="shared" ref="A41:A44" si="5">+A40+0.1</f>
        <v>5.1999999999999993</v>
      </c>
      <c r="B41" s="13" t="s">
        <v>46</v>
      </c>
      <c r="C41" s="24">
        <f>('Financial Statements'!B29*1000)/'Financial Statements'!B35</f>
        <v>22.99206349206349</v>
      </c>
      <c r="D41" s="24">
        <f>('Financial Statements'!C29*1000)/'Financial Statements'!C35</f>
        <v>20.146000000000001</v>
      </c>
      <c r="E41" s="24">
        <f>('Financial Statements'!D29*1000)/'Financial Statements'!D35</f>
        <v>6.1521298174442194</v>
      </c>
    </row>
    <row r="42" spans="1:5" x14ac:dyDescent="0.2">
      <c r="A42" s="16">
        <f t="shared" si="5"/>
        <v>5.2999999999999989</v>
      </c>
      <c r="B42" s="1" t="s">
        <v>47</v>
      </c>
      <c r="C42" s="24">
        <f>(C40*'Financial Statements'!B35)/('Financial Statements'!B74*1000)</f>
        <v>3.2633659833018726E-2</v>
      </c>
      <c r="D42" s="24">
        <f>(D40*'Financial Statements'!C35)/('Financial Statements'!C74*1000)</f>
        <v>5.265358606528811E-2</v>
      </c>
      <c r="E42" s="24">
        <f>(E40*'Financial Statements'!D35)/('Financial Statements'!D74*1000)</f>
        <v>0.26719328701782524</v>
      </c>
    </row>
    <row r="43" spans="1:5" x14ac:dyDescent="0.2">
      <c r="A43" s="16">
        <f t="shared" si="5"/>
        <v>5.3999999999999986</v>
      </c>
      <c r="B43" s="13" t="s">
        <v>48</v>
      </c>
      <c r="C43" s="24">
        <f>('Financial Statements'!B74*1000)/'Financial Statements'!B35</f>
        <v>123.13492063492063</v>
      </c>
      <c r="D43" s="24">
        <f>('Financial Statements'!C74*1000)/'Financial Statements'!C35</f>
        <v>87.097999999999999</v>
      </c>
      <c r="E43" s="24">
        <f>('Financial Statements'!D74*1000)/'Financial Statements'!D35</f>
        <v>56.204868154158213</v>
      </c>
    </row>
    <row r="44" spans="1:5" x14ac:dyDescent="0.2">
      <c r="A44" s="16">
        <f t="shared" si="5"/>
        <v>5.4999999999999982</v>
      </c>
      <c r="B44" s="1" t="s">
        <v>49</v>
      </c>
      <c r="C44" s="24">
        <v>0</v>
      </c>
      <c r="D44" s="24">
        <v>0</v>
      </c>
      <c r="E44" s="24">
        <v>0</v>
      </c>
    </row>
    <row r="45" spans="1:5" x14ac:dyDescent="0.2">
      <c r="A45" s="16"/>
      <c r="B45" s="13" t="s">
        <v>50</v>
      </c>
      <c r="C45" s="24">
        <v>0</v>
      </c>
      <c r="D45" s="24">
        <v>0</v>
      </c>
      <c r="E45" s="24">
        <v>0</v>
      </c>
    </row>
    <row r="46" spans="1:5" x14ac:dyDescent="0.2">
      <c r="A46" s="16">
        <f>+A44+0.1</f>
        <v>5.5999999999999979</v>
      </c>
      <c r="B46" s="1" t="s">
        <v>51</v>
      </c>
      <c r="C46" s="28">
        <v>0</v>
      </c>
      <c r="D46" s="28">
        <v>0</v>
      </c>
      <c r="E46" s="28">
        <v>0</v>
      </c>
    </row>
    <row r="47" spans="1:5" x14ac:dyDescent="0.2">
      <c r="A47" s="16">
        <f t="shared" ref="A47:A50" si="6">+A45+0.1</f>
        <v>0.1</v>
      </c>
      <c r="B47" s="1" t="s">
        <v>52</v>
      </c>
      <c r="C47" s="28">
        <f>'Financial Statements'!B29/'Financial Statements'!B74</f>
        <v>0.18672252658717367</v>
      </c>
      <c r="D47" s="28">
        <f>'Financial Statements'!C29/'Financial Statements'!C74</f>
        <v>0.23130267055500703</v>
      </c>
      <c r="E47" s="28">
        <f>'Financial Statements'!D29/'Financial Statements'!D74</f>
        <v>0.10945902053484427</v>
      </c>
    </row>
    <row r="48" spans="1:5" x14ac:dyDescent="0.2">
      <c r="A48" s="16">
        <f t="shared" si="6"/>
        <v>5.6999999999999975</v>
      </c>
      <c r="B48" s="1" t="s">
        <v>53</v>
      </c>
      <c r="C48" s="28">
        <f>(C21)/('Financial Statements'!B54-'Financial Statements'!B60)</f>
        <v>0.10580197328210951</v>
      </c>
      <c r="D48" s="28">
        <f>(D21)/('Financial Statements'!C54-'Financial Statements'!C60)</f>
        <v>0.13177801118219337</v>
      </c>
      <c r="E48" s="28">
        <f>(E21)/('Financial Statements'!D54-'Financial Statements'!D60)</f>
        <v>5.5919484658231988E-2</v>
      </c>
    </row>
    <row r="49" spans="1:5" x14ac:dyDescent="0.2">
      <c r="A49" s="16">
        <f t="shared" si="6"/>
        <v>0.2</v>
      </c>
      <c r="B49" s="1" t="s">
        <v>43</v>
      </c>
      <c r="C49" s="28">
        <f>'Financial Statements'!B29/'Financial Statements'!B54</f>
        <v>5.1445517829237106E-2</v>
      </c>
      <c r="D49" s="28">
        <f>'Financial Statements'!C29/'Financial Statements'!C54</f>
        <v>6.1931287196891449E-2</v>
      </c>
      <c r="E49" s="28">
        <f>'Financial Statements'!D29/'Financial Statements'!D54</f>
        <v>2.3098012337217273E-2</v>
      </c>
    </row>
    <row r="50" spans="1:5" x14ac:dyDescent="0.2">
      <c r="A50" s="16">
        <f t="shared" si="6"/>
        <v>5.7999999999999972</v>
      </c>
      <c r="B50" s="1" t="s">
        <v>54</v>
      </c>
      <c r="C50" s="29">
        <f>(C51)/(C19*1000000)</f>
        <v>0.9327431874483898</v>
      </c>
      <c r="D50" s="29">
        <f t="shared" ref="D50:E50" si="7">(D51)/(D19*1000000)</f>
        <v>1.3666162380231972</v>
      </c>
      <c r="E50" s="29">
        <f t="shared" si="7"/>
        <v>3.1936133213552362</v>
      </c>
    </row>
    <row r="51" spans="1:5" x14ac:dyDescent="0.2">
      <c r="A51" s="16"/>
      <c r="B51" s="13" t="s">
        <v>55</v>
      </c>
      <c r="C51" s="30">
        <f>(92.39*'Financial Statements'!B35*1000)+('Financial Statements'!B63*1000000)-('Financial Statements'!B43*1000000)</f>
        <v>33886560</v>
      </c>
      <c r="D51" s="30">
        <f>(92.39*'Financial Statements'!C35*1000)+('Financial Statements'!C63*1000000)-('Financial Statements'!C43*1000000)</f>
        <v>37940000</v>
      </c>
      <c r="E51" s="30">
        <f>(92.39*'Financial Statements'!D35*1000)+('Financial Statements'!D63*1000000)-('Financial Statements'!D43*1000000)</f>
        <v>49769270</v>
      </c>
    </row>
    <row r="52" spans="1:5" x14ac:dyDescent="0.2">
      <c r="C52" s="31">
        <v>92.39</v>
      </c>
    </row>
    <row r="53" spans="1:5" x14ac:dyDescent="0.2">
      <c r="B53" s="17" t="s">
        <v>168</v>
      </c>
    </row>
    <row r="54" spans="1:5" x14ac:dyDescent="0.2">
      <c r="B54" t="s">
        <v>169</v>
      </c>
    </row>
    <row r="55" spans="1:5" x14ac:dyDescent="0.2">
      <c r="B55" t="s">
        <v>170</v>
      </c>
      <c r="C55" s="28">
        <f>('Financial Statements'!B6-'Financial Statements'!C6)/('Financial Statements'!C6)</f>
        <v>0.13031039706866784</v>
      </c>
      <c r="D55" s="28">
        <f>('Financial Statements'!C6-'Financial Statements'!D6)/('Financial Statements'!D6)</f>
        <v>0.19685763200728665</v>
      </c>
      <c r="E55" s="28"/>
    </row>
    <row r="56" spans="1:5" x14ac:dyDescent="0.2">
      <c r="B56" t="s">
        <v>171</v>
      </c>
      <c r="C56" s="28">
        <f>('Financial Statements'!B7-'Financial Statements'!C7)/('Financial Statements'!C7)</f>
        <v>0.3203403244954493</v>
      </c>
      <c r="D56" s="28">
        <f>('Financial Statements'!C7-'Financial Statements'!D7)/('Financial Statements'!D7)</f>
        <v>0.53427891993995913</v>
      </c>
    </row>
    <row r="57" spans="1:5" x14ac:dyDescent="0.2">
      <c r="B57" t="s">
        <v>172</v>
      </c>
      <c r="C57" s="28">
        <f>('Financial Statements'!B8-'Financial Statements'!C8)/('Financial Statements'!C8)</f>
        <v>0.20454125820676977</v>
      </c>
      <c r="D57" s="28">
        <f>('Financial Statements'!C8-'Financial Statements'!D8)/('Financial Statements'!D8)</f>
        <v>0.30933961521594899</v>
      </c>
    </row>
    <row r="58" spans="1:5" x14ac:dyDescent="0.2">
      <c r="B58" s="1" t="s">
        <v>93</v>
      </c>
      <c r="C58" s="28">
        <f>('Financial Statements'!B20-'Financial Statements'!C20)/('Financial Statements'!C8)</f>
        <v>0.19543813093903906</v>
      </c>
      <c r="D58" s="28">
        <f>('Financial Statements'!C20-'Financial Statements'!D20)/('Financial Statements'!D8)</f>
        <v>0.26259093924639904</v>
      </c>
    </row>
    <row r="59" spans="1:5" x14ac:dyDescent="0.2">
      <c r="B59" s="1" t="s">
        <v>174</v>
      </c>
      <c r="C59" s="28">
        <f>('Financial Statements'!B43-'Financial Statements'!C43)/('Financial Statements'!C43)</f>
        <v>0.13675590551181099</v>
      </c>
      <c r="D59" s="28">
        <f>('Financial Statements'!C43-'Financial Statements'!D43)/('Financial Statements'!D43)</f>
        <v>0.54712016372673244</v>
      </c>
    </row>
    <row r="60" spans="1:5" x14ac:dyDescent="0.2">
      <c r="B60" s="1" t="s">
        <v>175</v>
      </c>
      <c r="C60" s="28">
        <f>('Financial Statements'!B46-'Financial Statements'!C46)/('Financial Statements'!C46)</f>
        <v>0.24818612460274628</v>
      </c>
      <c r="D60" s="28">
        <f>('Financial Statements'!C46-'Financial Statements'!D46)/('Financial Statements'!D46)</f>
        <v>0.26686417502278942</v>
      </c>
    </row>
    <row r="61" spans="1:5" x14ac:dyDescent="0.2">
      <c r="B61" s="1" t="s">
        <v>67</v>
      </c>
      <c r="C61" s="28">
        <f>('Financial Statements'!B45-'Financial Statements'!C45)/('Financial Statements'!C45)</f>
        <v>0.19349015954349602</v>
      </c>
      <c r="D61" s="28">
        <f>('Financial Statements'!C45-'Financial Statements'!D45)/('Financial Statements'!D45)</f>
        <v>7.0231195862154844E-2</v>
      </c>
    </row>
    <row r="62" spans="1:5" x14ac:dyDescent="0.2">
      <c r="B62" s="1" t="s">
        <v>107</v>
      </c>
      <c r="C62" s="28">
        <f>('Financial Statements'!B47-'Financial Statements'!C47)/('Financial Statements'!C47)</f>
        <v>0.28272592908216942</v>
      </c>
      <c r="D62" s="28">
        <f>('Financial Statements'!C47-'Financial Statements'!D47)/('Financial Statements'!D47)</f>
        <v>0.39416722358357459</v>
      </c>
    </row>
    <row r="63" spans="1:5" x14ac:dyDescent="0.2">
      <c r="B63" s="1" t="s">
        <v>176</v>
      </c>
      <c r="C63" s="28">
        <f>('Financial Statements'!B49-'Financial Statements'!C49)/('Financial Statements'!C49)</f>
        <v>0.17651342298169817</v>
      </c>
      <c r="D63" s="28">
        <f>('Financial Statements'!C49-'Financial Statements'!D49)/('Financial Statements'!D49)</f>
        <v>0.26462161830311459</v>
      </c>
    </row>
    <row r="64" spans="1:5" x14ac:dyDescent="0.2">
      <c r="B64" s="1" t="s">
        <v>111</v>
      </c>
      <c r="C64" s="28">
        <f>('Financial Statements'!B54-'Financial Statements'!C54)/('Financial Statements'!C54)</f>
        <v>0.38488023215778855</v>
      </c>
      <c r="D64" s="28">
        <f>('Financial Statements'!C54-'Financial Statements'!D54)/('Financial Statements'!D54)</f>
        <v>0.2386566141192597</v>
      </c>
    </row>
    <row r="65" spans="2:5" x14ac:dyDescent="0.2">
      <c r="B65" s="1" t="s">
        <v>113</v>
      </c>
      <c r="C65" s="28">
        <f>('Financial Statements'!B60-'Financial Statements'!C60)/('Financial Statements'!C60)</f>
        <v>0.28397011302656766</v>
      </c>
      <c r="D65" s="28">
        <f>('Financial Statements'!C60-'Financial Statements'!D60)/('Financial Statements'!D60)</f>
        <v>0.18153862101135051</v>
      </c>
    </row>
    <row r="66" spans="2:5" x14ac:dyDescent="0.2">
      <c r="B66" s="1" t="s">
        <v>177</v>
      </c>
      <c r="C66" s="28">
        <f>('Financial Statements'!B63-'Financial Statements'!C63)/('Financial Statements'!C63)</f>
        <v>-3.4475420302191749E-3</v>
      </c>
      <c r="D66" s="28">
        <f>('Financial Statements'!C63-'Financial Statements'!D63)/('Financial Statements'!D63)</f>
        <v>-5.0438507860809022E-2</v>
      </c>
    </row>
    <row r="67" spans="2:5" x14ac:dyDescent="0.2">
      <c r="B67" s="1" t="s">
        <v>178</v>
      </c>
      <c r="C67" s="28">
        <f>('Financial Statements'!B66-'Financial Statements'!C66)/('Financial Statements'!C66)</f>
        <v>0.37018782693389518</v>
      </c>
      <c r="D67" s="28">
        <f>('Financial Statements'!C66-'Financial Statements'!D66)/('Financial Statements'!D66)</f>
        <v>0.1495931506452641</v>
      </c>
    </row>
    <row r="68" spans="2:5" x14ac:dyDescent="0.2">
      <c r="B68" s="1" t="s">
        <v>179</v>
      </c>
      <c r="C68" s="28">
        <f>('Financial Statements'!B74-'Financial Statements'!C74)/('Financial Statements'!C74)</f>
        <v>0.42506142506142514</v>
      </c>
      <c r="D68" s="28">
        <f>('Financial Statements'!C74-'Financial Statements'!D74)/('Financial Statements'!D74)</f>
        <v>0.57165541881699089</v>
      </c>
    </row>
    <row r="69" spans="2:5" x14ac:dyDescent="0.2">
      <c r="C69" s="28"/>
    </row>
    <row r="71" spans="2:5" x14ac:dyDescent="0.2">
      <c r="B71" s="17" t="s">
        <v>180</v>
      </c>
    </row>
    <row r="72" spans="2:5" x14ac:dyDescent="0.2">
      <c r="B72" s="1" t="s">
        <v>181</v>
      </c>
      <c r="C72" s="28">
        <f>'Financial Statements'!B12/'Financial Statements'!B8</f>
        <v>0.59009988521399392</v>
      </c>
      <c r="D72" s="28">
        <f>'Financial Statements'!C12/'Financial Statements'!C8</f>
        <v>0.59752583871147813</v>
      </c>
      <c r="E72" s="28">
        <f>'Financial Statements'!D12/'Financial Statements'!D8</f>
        <v>0.62931645171083839</v>
      </c>
    </row>
    <row r="73" spans="2:5" x14ac:dyDescent="0.2">
      <c r="B73" s="1" t="s">
        <v>182</v>
      </c>
      <c r="C73" s="28">
        <f>C17/'Financial Statements'!B8</f>
        <v>0.40990011478600608</v>
      </c>
      <c r="D73" s="28">
        <f>D17/'Financial Statements'!C8</f>
        <v>0.40247416128852187</v>
      </c>
      <c r="E73" s="28">
        <f>E17/'Financial Statements'!D8</f>
        <v>0.37068354828916156</v>
      </c>
    </row>
    <row r="74" spans="2:5" x14ac:dyDescent="0.2">
      <c r="B74" t="s">
        <v>187</v>
      </c>
      <c r="C74" s="28">
        <f>'Financial Statements'!B17/'Financial Statements'!B8</f>
        <v>6.7295969656568824E-2</v>
      </c>
      <c r="D74" s="28">
        <f>'Financial Statements'!C17/'Financial Statements'!C8</f>
        <v>0.12382400048091993</v>
      </c>
      <c r="E74" s="28">
        <f>'Financial Statements'!D17/'Financial Statements'!D8</f>
        <v>0.12717438970910686</v>
      </c>
    </row>
    <row r="75" spans="2:5" x14ac:dyDescent="0.2">
      <c r="B75" s="1" t="s">
        <v>173</v>
      </c>
      <c r="C75" s="28">
        <f>'Financial Statements'!B18/'Financial Statements'!B8</f>
        <v>1.8547564896870834E-2</v>
      </c>
      <c r="D75" s="28">
        <f>'Financial Statements'!C18/'Financial Statements'!C8</f>
        <v>1.8618471619283174E-2</v>
      </c>
      <c r="E75" s="28">
        <f>'Financial Statements'!D18/'Financial Statements'!D8</f>
        <v>2.0655999460267839E-2</v>
      </c>
    </row>
    <row r="76" spans="2:5" x14ac:dyDescent="0.2">
      <c r="B76" s="1" t="s">
        <v>93</v>
      </c>
      <c r="C76" s="28">
        <f>'Financial Statements'!B20/'Financial Statements'!B8</f>
        <v>0.94816449333742092</v>
      </c>
      <c r="D76" s="28">
        <f>'Financial Statements'!C20/'Financial Statements'!C8</f>
        <v>0.94666512085260235</v>
      </c>
      <c r="E76" s="28">
        <f>'Financial Statements'!D20/'Financial Statements'!D8</f>
        <v>0.97691520582910718</v>
      </c>
    </row>
    <row r="77" spans="2:5" x14ac:dyDescent="0.2">
      <c r="B77" s="1" t="s">
        <v>94</v>
      </c>
      <c r="C77" s="28">
        <f>'Financial Statements'!B21/'Financial Statements'!B8</f>
        <v>5.1835506662579051E-2</v>
      </c>
      <c r="D77" s="28">
        <f>'Financial Statements'!C21/'Financial Statements'!C8</f>
        <v>5.3334879147397665E-2</v>
      </c>
      <c r="E77" s="28">
        <f>'Financial Statements'!D21/'Financial Statements'!D8</f>
        <v>2.3084794170892691E-2</v>
      </c>
    </row>
    <row r="78" spans="2:5" x14ac:dyDescent="0.2">
      <c r="B78" s="1" t="s">
        <v>183</v>
      </c>
      <c r="C78" s="28">
        <f>'Financial Statements'!B29/'Financial Statements'!B8</f>
        <v>4.1308703060722506E-2</v>
      </c>
      <c r="D78" s="28">
        <f>'Financial Statements'!C29/'Financial Statements'!C8</f>
        <v>4.3252736305590268E-2</v>
      </c>
      <c r="E78" s="28">
        <f>'Financial Statements'!D29/'Financial Statements'!D8</f>
        <v>1.7052162864178648E-2</v>
      </c>
    </row>
    <row r="79" spans="2:5" x14ac:dyDescent="0.2">
      <c r="C79" s="28"/>
    </row>
    <row r="80" spans="2:5" x14ac:dyDescent="0.2">
      <c r="B80" s="17" t="s">
        <v>184</v>
      </c>
      <c r="C80" s="28">
        <f>-('Financial Statements'!B27)/'Financial Statements'!B26</f>
        <v>0.16986262163709215</v>
      </c>
      <c r="D80" s="28">
        <f>-('Financial Statements'!C27)/'Financial Statements'!C26</f>
        <v>0.10629606606873281</v>
      </c>
      <c r="E80" s="28">
        <f>-('Financial Statements'!D27)/'Financial Statements'!D26</f>
        <v>0.20204939569101418</v>
      </c>
    </row>
    <row r="81" spans="2:5" x14ac:dyDescent="0.2">
      <c r="B81" s="17" t="s">
        <v>185</v>
      </c>
      <c r="C81" s="28">
        <f>-('Financial Statements'!B107)/'Financial Statements'!B8</f>
        <v>6.0105802753438235E-2</v>
      </c>
      <c r="D81" s="28">
        <f>-('Financial Statements'!C107)/'Financial Statements'!C8</f>
        <v>5.7654570671613267E-2</v>
      </c>
      <c r="E81" s="28">
        <f>-('Financial Statements'!D107)/'Financial Statements'!D8</f>
        <v>6.72135202905558E-2</v>
      </c>
    </row>
    <row r="82" spans="2:5" x14ac:dyDescent="0.2">
      <c r="B82" s="17" t="s">
        <v>186</v>
      </c>
      <c r="C82" s="28">
        <f>-('Financial Statements'!B107)/'Financial Statements'!B49</f>
        <v>0.23190977236778765</v>
      </c>
      <c r="D82" s="28">
        <f>-('Financial Statements'!C107)/'Financial Statements'!C49</f>
        <v>0.21727591954301989</v>
      </c>
      <c r="E82" s="28">
        <f>-('Financial Statements'!D107)/'Financial Statements'!D49</f>
        <v>0.24464863094994474</v>
      </c>
    </row>
    <row r="83" spans="2:5" x14ac:dyDescent="0.2">
      <c r="C83" s="28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ALAOUI BELGHITI Moulay Abdelaziz</cp:lastModifiedBy>
  <dcterms:created xsi:type="dcterms:W3CDTF">2020-05-19T16:15:53Z</dcterms:created>
  <dcterms:modified xsi:type="dcterms:W3CDTF">2024-07-18T02:59:29Z</dcterms:modified>
</cp:coreProperties>
</file>