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odede\Downloads\"/>
    </mc:Choice>
  </mc:AlternateContent>
  <xr:revisionPtr revIDLastSave="0" documentId="13_ncr:1_{9FFECFCE-996D-4690-8676-60B28D61AC26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Instructions" sheetId="1" r:id="rId1"/>
    <sheet name="Financial Statements" sheetId="2" r:id="rId2"/>
    <sheet name="List of Ratio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3" i="3" l="1"/>
  <c r="D50" i="3"/>
  <c r="C50" i="3"/>
  <c r="D51" i="3"/>
  <c r="C51" i="3"/>
  <c r="C52" i="3"/>
  <c r="D49" i="3"/>
  <c r="C49" i="3"/>
  <c r="D48" i="3"/>
  <c r="C48" i="3"/>
  <c r="D47" i="3"/>
  <c r="C47" i="3"/>
  <c r="D42" i="3"/>
  <c r="C42" i="3"/>
  <c r="C40" i="3"/>
  <c r="C43" i="3"/>
  <c r="D41" i="3"/>
  <c r="C41" i="3"/>
  <c r="D40" i="3"/>
  <c r="D37" i="3"/>
  <c r="C37" i="3"/>
  <c r="D36" i="3"/>
  <c r="C36" i="3"/>
  <c r="D35" i="3"/>
  <c r="C35" i="3"/>
  <c r="D34" i="3"/>
  <c r="C34" i="3"/>
  <c r="D30" i="3"/>
  <c r="C30" i="3"/>
  <c r="D31" i="3"/>
  <c r="C31" i="3"/>
  <c r="D29" i="3"/>
  <c r="C29" i="3"/>
  <c r="D28" i="3"/>
  <c r="C28" i="3"/>
  <c r="D27" i="3"/>
  <c r="C27" i="3"/>
  <c r="D26" i="3"/>
  <c r="C26" i="3"/>
  <c r="D25" i="3"/>
  <c r="C25" i="3"/>
  <c r="D22" i="3"/>
  <c r="C22" i="3"/>
  <c r="D20" i="3"/>
  <c r="C20" i="3"/>
  <c r="D18" i="3"/>
  <c r="C18" i="3"/>
  <c r="D19" i="3"/>
  <c r="C19" i="3"/>
  <c r="D21" i="3"/>
  <c r="C21" i="3"/>
  <c r="B16" i="2"/>
  <c r="D17" i="3"/>
  <c r="C17" i="3"/>
  <c r="C16" i="2"/>
  <c r="D11" i="3"/>
  <c r="C11" i="3"/>
  <c r="D10" i="3"/>
  <c r="C10" i="3"/>
  <c r="D9" i="3"/>
  <c r="C9" i="3"/>
  <c r="C55" i="2"/>
  <c r="B55" i="2"/>
  <c r="D12" i="3" l="1"/>
  <c r="C12" i="3"/>
  <c r="B21" i="2" l="1"/>
  <c r="C21" i="2"/>
  <c r="D8" i="3"/>
  <c r="C8" i="3"/>
  <c r="B7" i="2"/>
  <c r="B9" i="2" s="1"/>
  <c r="C7" i="2"/>
  <c r="C9" i="2" s="1"/>
  <c r="C64" i="2"/>
  <c r="B64" i="2"/>
  <c r="C51" i="2"/>
  <c r="B51" i="2"/>
  <c r="C40" i="2"/>
  <c r="B40" i="2"/>
  <c r="A47" i="3"/>
  <c r="A49" i="3" s="1"/>
  <c r="A16" i="3"/>
  <c r="A24" i="3" s="1"/>
  <c r="A5" i="3"/>
  <c r="A6" i="3" s="1"/>
  <c r="A7" i="3" s="1"/>
  <c r="A8" i="3" s="1"/>
  <c r="A9" i="3" s="1"/>
  <c r="A10" i="3" s="1"/>
  <c r="A11" i="3" s="1"/>
  <c r="A12" i="3" s="1"/>
  <c r="A13" i="3" s="1"/>
  <c r="D7" i="3" l="1"/>
  <c r="C65" i="2"/>
  <c r="C7" i="3"/>
  <c r="B65" i="2"/>
  <c r="C14" i="3"/>
  <c r="C13" i="3" s="1"/>
  <c r="C6" i="3"/>
  <c r="C5" i="3"/>
  <c r="C45" i="2"/>
  <c r="D14" i="3"/>
  <c r="D13" i="3" s="1"/>
  <c r="D6" i="3"/>
  <c r="D5" i="3"/>
  <c r="B45" i="2"/>
  <c r="A33" i="3"/>
  <c r="A25" i="3"/>
  <c r="A26" i="3" s="1"/>
  <c r="A27" i="3" s="1"/>
  <c r="A28" i="3" s="1"/>
  <c r="A29" i="3" s="1"/>
  <c r="A30" i="3" s="1"/>
  <c r="A17" i="3"/>
  <c r="A18" i="3" s="1"/>
  <c r="A20" i="3" s="1"/>
  <c r="A22" i="3" s="1"/>
  <c r="A34" i="3" l="1"/>
  <c r="A35" i="3" s="1"/>
  <c r="A36" i="3" s="1"/>
  <c r="A37" i="3" s="1"/>
  <c r="A39" i="3"/>
  <c r="A40" i="3" s="1"/>
  <c r="A41" i="3" s="1"/>
  <c r="A42" i="3" s="1"/>
  <c r="A43" i="3" s="1"/>
  <c r="A44" i="3" s="1"/>
  <c r="A46" i="3" s="1"/>
  <c r="A48" i="3" s="1"/>
  <c r="A50" i="3" s="1"/>
</calcChain>
</file>

<file path=xl/sharedStrings.xml><?xml version="1.0" encoding="utf-8"?>
<sst xmlns="http://schemas.openxmlformats.org/spreadsheetml/2006/main" count="158" uniqueCount="152">
  <si>
    <t>Instructions</t>
  </si>
  <si>
    <t>https://ir.aboutamazon.com/annual-reports-proxies-and-shareholder-letters/default.aspx</t>
  </si>
  <si>
    <t>You are required write up a 1-2 page report commenting on the financial health of Amazon Inc. based on the ratios you have calculated, addressing the five key topics mentioned in the ratios tab.</t>
  </si>
  <si>
    <t>Formats:</t>
  </si>
  <si>
    <t>However make sure you have covered the five key topics in the ratio analysis</t>
  </si>
  <si>
    <t>Please refer to the below website in order to download the company financial statements:</t>
  </si>
  <si>
    <t>You are free to use any additional publicly available information/ news articles whilst mentioning the sources at the end page</t>
  </si>
  <si>
    <t>The report should be submitted as a word document</t>
  </si>
  <si>
    <t>The supporting calculations should be submitted in excel document as same as the previous task.</t>
  </si>
  <si>
    <t>(In millions, except number of shares which are reflected in thousands and per share amounts)</t>
  </si>
  <si>
    <t>CONSOLIDATED STATEMENTS OF OPERATIONS</t>
  </si>
  <si>
    <t>Gross margin</t>
  </si>
  <si>
    <t>CONSOLIDATED BALANCE SHEETS</t>
  </si>
  <si>
    <t>CONSOLIDATED STATEMENTS OF CASH FLOWS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</si>
  <si>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</si>
  <si>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</si>
  <si>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</si>
  <si>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</si>
  <si>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</si>
  <si>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</si>
  <si>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</si>
  <si>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</si>
  <si>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</si>
  <si>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</si>
  <si>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</si>
  <si>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</si>
  <si>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</si>
  <si>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</si>
  <si>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</si>
  <si>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</si>
  <si>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</si>
  <si>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</si>
  <si>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</si>
  <si>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</si>
  <si>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</si>
  <si>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</si>
  <si>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</si>
  <si>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</si>
  <si>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</si>
  <si>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</si>
  <si>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</si>
  <si>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</si>
  <si>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</si>
  <si>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</si>
  <si>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</si>
  <si>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</si>
  <si>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</si>
  <si>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</si>
  <si>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</si>
  <si>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</si>
  <si>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</si>
  <si>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</si>
  <si>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</si>
  <si>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</si>
  <si>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</si>
  <si>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</si>
  <si>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Company name</t>
  </si>
  <si>
    <t xml:space="preserve">Years ended </t>
  </si>
  <si>
    <t xml:space="preserve">As at </t>
  </si>
  <si>
    <t>Company Name</t>
  </si>
  <si>
    <t>Years ended ,</t>
  </si>
  <si>
    <t>Please input the three financial statements in the format from previous task, attached here in the second tab</t>
  </si>
  <si>
    <t>Perform the calculations on tab three similar to previous task.</t>
  </si>
  <si>
    <t>Perform a management report, analyzing the financial health of Amazon Inc. based on its recent two annual reports (2022 &amp; 2021).</t>
  </si>
  <si>
    <t>Current assets</t>
  </si>
  <si>
    <t>Cash and cash equivalents</t>
  </si>
  <si>
    <t>Marketable securities</t>
  </si>
  <si>
    <t>inventories</t>
  </si>
  <si>
    <t>Accounts receivable, net and other</t>
  </si>
  <si>
    <t>total current assets</t>
  </si>
  <si>
    <t>property and equipment, net</t>
  </si>
  <si>
    <t>Operating leases</t>
  </si>
  <si>
    <t>Goodwill</t>
  </si>
  <si>
    <t>other assets</t>
  </si>
  <si>
    <t>total assets</t>
  </si>
  <si>
    <t>LIABILITIES AND STOCKHOLDERS' EQUITY</t>
  </si>
  <si>
    <t>Current Liabilities:</t>
  </si>
  <si>
    <t>Accounts payable</t>
  </si>
  <si>
    <t>accrued expenses and other</t>
  </si>
  <si>
    <t>Unearned revenue</t>
  </si>
  <si>
    <t>Total current liabilities</t>
  </si>
  <si>
    <t>Long-term lease liabilities</t>
  </si>
  <si>
    <t>Long-term debt</t>
  </si>
  <si>
    <t>Other long-term liabilities</t>
  </si>
  <si>
    <t xml:space="preserve">Commitments and contingencies </t>
  </si>
  <si>
    <t>Stockholders’ equity:</t>
  </si>
  <si>
    <t>Preferred stock ($0.01 par value; 500 shares authorized; no shares issued or outstanding)</t>
  </si>
  <si>
    <t>Common stock ($0.01 par value; 100,000 shares authorized; 10,644 and 10,757 shares issued; 10,175 and 10,242 shares outstanding)</t>
  </si>
  <si>
    <t>Treasury stock, at cost</t>
  </si>
  <si>
    <t>Additional paid-in capital</t>
  </si>
  <si>
    <t>Accumulated other comprehensive income (loss)</t>
  </si>
  <si>
    <t>Retained earnings</t>
  </si>
  <si>
    <t>Total stockholders’ equity</t>
  </si>
  <si>
    <t>Total liabilities and stockholders’ equity</t>
  </si>
  <si>
    <t>Net product sales</t>
  </si>
  <si>
    <t>Net service sales</t>
  </si>
  <si>
    <t>Total net sales</t>
  </si>
  <si>
    <t>Operating expenses:</t>
  </si>
  <si>
    <t>Cost of sales</t>
  </si>
  <si>
    <t>Technology and content</t>
  </si>
  <si>
    <t>Sales and marketing</t>
  </si>
  <si>
    <t>General and administrative</t>
  </si>
  <si>
    <t>Other operating expense (income), net</t>
  </si>
  <si>
    <t>Total operating expenses</t>
  </si>
  <si>
    <t>Operating income</t>
  </si>
  <si>
    <t>Interest income</t>
  </si>
  <si>
    <t>Interest expense</t>
  </si>
  <si>
    <t>Other income (expense), net</t>
  </si>
  <si>
    <t>Total non-operating income (expense)</t>
  </si>
  <si>
    <t>Income (loss) before income taxes</t>
  </si>
  <si>
    <t>Benefit (provision) for income taxes</t>
  </si>
  <si>
    <t>Equity-method investment activity, net of tax</t>
  </si>
  <si>
    <t>Net income (loss)</t>
  </si>
  <si>
    <t>Basic earnings per share</t>
  </si>
  <si>
    <t>Diluted earnings per share</t>
  </si>
  <si>
    <t>Weighted-average shares used in computation of earnings per share:</t>
  </si>
  <si>
    <t>Basic</t>
  </si>
  <si>
    <t>Diluted</t>
  </si>
  <si>
    <t>CASH, CASH EQUIVALENTS, AND RESTRICTED CASH, BEGINNING OF PERIOD</t>
  </si>
  <si>
    <t>OPERATING ACTIVITIES:</t>
  </si>
  <si>
    <t>Adjustments to reconcile net income (loss) to net cash from operating activities:</t>
  </si>
  <si>
    <t>Depreciation and amortization of property and equipment and capitalized content costs, operating lease assets, and other</t>
  </si>
  <si>
    <t>Stock-based compensation</t>
  </si>
  <si>
    <t>Other expense (income), net</t>
  </si>
  <si>
    <t>Deferred income taxes</t>
  </si>
  <si>
    <t>Changes in operating assets and liabilities:</t>
  </si>
  <si>
    <t>Inventories</t>
  </si>
  <si>
    <t>Accrued expenses and other</t>
  </si>
  <si>
    <t>Net cash provided by (used in) operating activities</t>
  </si>
  <si>
    <t>INVESTING ACTIVITIES:</t>
  </si>
  <si>
    <t>Purchases of property and equipment</t>
  </si>
  <si>
    <t>Proceeds from property and equipment sales and incentives</t>
  </si>
  <si>
    <t>Acquisitions, net of cash acquired, and other</t>
  </si>
  <si>
    <t>Sales and maturities of marketable securities</t>
  </si>
  <si>
    <t>Purchases of marketable securities</t>
  </si>
  <si>
    <t>Net cash provided by (used in) investing activities</t>
  </si>
  <si>
    <t>FINANCING ACTIVITIES:</t>
  </si>
  <si>
    <t>Common stock repurchased</t>
  </si>
  <si>
    <t>Proceeds from short-term debt, and other</t>
  </si>
  <si>
    <t>Repayments of short-term debt, and other</t>
  </si>
  <si>
    <t>Proceeds from long-term debt</t>
  </si>
  <si>
    <t>Repayments of long-term debt</t>
  </si>
  <si>
    <t>Principal repayments of finance leases</t>
  </si>
  <si>
    <t>Principal repayments of financing obligations</t>
  </si>
  <si>
    <t>Net cash provided by (used in) financing activities</t>
  </si>
  <si>
    <t>Foreign currency effect on cash, cash equivalents, and restricted cash</t>
  </si>
  <si>
    <t>Net increase (decrease) in cash, cash equivalents, and restricted cash</t>
  </si>
  <si>
    <t>CASH, CASH EQUIVALENTS, AND RESTRICTED CASH, END OF PERIOD</t>
  </si>
  <si>
    <t>Total longterm liabilities</t>
  </si>
  <si>
    <t xml:space="preserve">Fulfillment </t>
  </si>
  <si>
    <t>Gross profit</t>
  </si>
  <si>
    <t>Market capitalisation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</si>
</sst>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.00_);_(* \(#,##0.00\);_(* &quot;-&quot;??_);_(@_)"/>
    <numFmt numFmtId="165" formatCode="_(* #,##0_);_(* \(#,##0\);_(* &quot;-&quot;??_);_(@_)"/>
    <numFmt numFmtId="166" formatCode="0.0"/>
    <numFmt numFmtId="173" formatCode="#,##0.00;#\(##0.00\)"/>
    <numFmt numFmtId="175" formatCode="#,##0;\(#,##0\)"/>
    <numFmt numFmtId="176" formatCode="0.0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2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47">
    <xf numFmtId="0" fontId="0" fillId="0" borderId="0" xfId="0"/>
    <xf numFmtId="0" fontId="0" fillId="0" borderId="0" xfId="0" applyAlignment="1">
      <alignment horizontal="left" indent="1"/>
    </xf>
    <xf numFmtId="0" fontId="0" fillId="0" borderId="0" xfId="0" applyAlignment="1">
      <alignment wrapText="1"/>
    </xf>
    <xf numFmtId="0" fontId="4" fillId="2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0" fillId="0" borderId="0" xfId="0" applyAlignment="1">
      <alignment horizontal="left" wrapText="1" indent="1"/>
    </xf>
    <xf numFmtId="0" fontId="5" fillId="0" borderId="0" xfId="2" applyAlignment="1">
      <alignment horizontal="left" wrapText="1" indent="1"/>
    </xf>
    <xf numFmtId="0" fontId="6" fillId="2" borderId="0" xfId="0" applyFont="1" applyFill="1" applyAlignment="1">
      <alignment vertical="center"/>
    </xf>
    <xf numFmtId="0" fontId="3" fillId="2" borderId="0" xfId="0" applyFont="1" applyFill="1"/>
    <xf numFmtId="0" fontId="2" fillId="0" borderId="0" xfId="0" applyFont="1"/>
    <xf numFmtId="165" fontId="0" fillId="0" borderId="0" xfId="1" applyNumberFormat="1" applyFont="1"/>
    <xf numFmtId="0" fontId="2" fillId="0" borderId="1" xfId="0" applyFont="1" applyBorder="1"/>
    <xf numFmtId="3" fontId="0" fillId="0" borderId="0" xfId="0" applyNumberFormat="1"/>
    <xf numFmtId="165" fontId="2" fillId="0" borderId="0" xfId="1" applyNumberFormat="1" applyFont="1"/>
    <xf numFmtId="0" fontId="0" fillId="0" borderId="0" xfId="0" applyAlignment="1">
      <alignment horizontal="left" indent="2"/>
    </xf>
    <xf numFmtId="0" fontId="7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166" fontId="0" fillId="0" borderId="0" xfId="0" applyNumberFormat="1"/>
    <xf numFmtId="0" fontId="2" fillId="0" borderId="0" xfId="0" applyFont="1" applyAlignment="1">
      <alignment horizontal="left"/>
    </xf>
    <xf numFmtId="0" fontId="2" fillId="3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165" fontId="0" fillId="0" borderId="0" xfId="0" applyNumberFormat="1"/>
    <xf numFmtId="0" fontId="0" fillId="0" borderId="0" xfId="0" applyFill="1" applyBorder="1"/>
    <xf numFmtId="165" fontId="1" fillId="0" borderId="0" xfId="1" applyNumberFormat="1" applyFont="1" applyFill="1" applyBorder="1"/>
    <xf numFmtId="164" fontId="1" fillId="0" borderId="0" xfId="1" applyNumberFormat="1" applyFont="1" applyFill="1" applyBorder="1"/>
    <xf numFmtId="0" fontId="2" fillId="0" borderId="0" xfId="0" applyFont="1" applyBorder="1"/>
    <xf numFmtId="165" fontId="2" fillId="0" borderId="0" xfId="1" applyNumberFormat="1" applyFont="1" applyBorder="1"/>
    <xf numFmtId="165" fontId="0" fillId="0" borderId="0" xfId="1" applyNumberFormat="1" applyFont="1" applyBorder="1"/>
    <xf numFmtId="0" fontId="0" fillId="0" borderId="0" xfId="0" applyFont="1" applyBorder="1"/>
    <xf numFmtId="0" fontId="0" fillId="0" borderId="0" xfId="0" applyBorder="1" applyAlignment="1">
      <alignment horizontal="left" indent="1"/>
    </xf>
    <xf numFmtId="165" fontId="1" fillId="0" borderId="0" xfId="1" applyNumberFormat="1" applyFont="1" applyBorder="1"/>
    <xf numFmtId="0" fontId="0" fillId="0" borderId="0" xfId="0" applyBorder="1"/>
    <xf numFmtId="0" fontId="0" fillId="0" borderId="2" xfId="0" applyBorder="1"/>
    <xf numFmtId="3" fontId="0" fillId="0" borderId="2" xfId="0" applyNumberFormat="1" applyBorder="1"/>
    <xf numFmtId="165" fontId="0" fillId="0" borderId="2" xfId="1" applyNumberFormat="1" applyFont="1" applyBorder="1"/>
    <xf numFmtId="165" fontId="1" fillId="0" borderId="2" xfId="1" applyNumberFormat="1" applyFont="1" applyBorder="1"/>
    <xf numFmtId="165" fontId="1" fillId="0" borderId="2" xfId="1" applyNumberFormat="1" applyFont="1" applyFill="1" applyBorder="1"/>
    <xf numFmtId="3" fontId="0" fillId="0" borderId="0" xfId="0" applyNumberFormat="1" applyFont="1" applyBorder="1"/>
    <xf numFmtId="0" fontId="0" fillId="0" borderId="2" xfId="0" applyBorder="1" applyAlignment="1">
      <alignment horizontal="left" indent="1"/>
    </xf>
    <xf numFmtId="173" fontId="0" fillId="0" borderId="0" xfId="0" applyNumberFormat="1" applyFill="1" applyBorder="1"/>
    <xf numFmtId="175" fontId="0" fillId="0" borderId="0" xfId="0" applyNumberFormat="1"/>
    <xf numFmtId="176" fontId="0" fillId="0" borderId="0" xfId="0" applyNumberFormat="1"/>
    <xf numFmtId="2" fontId="0" fillId="0" borderId="0" xfId="0" applyNumberFormat="1"/>
    <xf numFmtId="0" fontId="0" fillId="0" borderId="0" xfId="0" applyFill="1" applyAlignment="1">
      <alignment horizontal="left" indent="1"/>
    </xf>
    <xf numFmtId="2" fontId="0" fillId="0" borderId="0" xfId="0" applyNumberFormat="1" applyFill="1"/>
    <xf numFmtId="0" fontId="0" fillId="0" borderId="0" xfId="0" applyFill="1" applyAlignment="1">
      <alignment horizontal="left" indent="2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ir.aboutamazon.com/annual-reports-proxies-and-shareholder-letters/default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5"/>
  <sheetViews>
    <sheetView topLeftCell="A2" workbookViewId="0">
      <selection activeCell="A9" sqref="A9"/>
    </sheetView>
  </sheetViews>
  <sheetFormatPr defaultRowHeight="14.5" x14ac:dyDescent="0.35"/>
  <cols>
    <col min="1" max="1" width="157.90625" style="2" customWidth="1"/>
  </cols>
  <sheetData>
    <row r="1" spans="1:1" ht="23.5" x14ac:dyDescent="0.55000000000000004">
      <c r="A1" s="3" t="s">
        <v>0</v>
      </c>
    </row>
    <row r="3" spans="1:1" x14ac:dyDescent="0.35">
      <c r="A3" s="2" t="s">
        <v>63</v>
      </c>
    </row>
    <row r="4" spans="1:1" x14ac:dyDescent="0.35">
      <c r="A4" s="5" t="s">
        <v>5</v>
      </c>
    </row>
    <row r="5" spans="1:1" x14ac:dyDescent="0.35">
      <c r="A5" s="6" t="s">
        <v>1</v>
      </c>
    </row>
    <row r="7" spans="1:1" x14ac:dyDescent="0.35">
      <c r="A7" s="2" t="s">
        <v>61</v>
      </c>
    </row>
    <row r="8" spans="1:1" x14ac:dyDescent="0.35">
      <c r="A8" s="2" t="s">
        <v>62</v>
      </c>
    </row>
    <row r="9" spans="1:1" ht="29" x14ac:dyDescent="0.35">
      <c r="A9" s="2" t="s">
        <v>2</v>
      </c>
    </row>
    <row r="10" spans="1:1" x14ac:dyDescent="0.35">
      <c r="A10" s="2" t="s">
        <v>6</v>
      </c>
    </row>
    <row r="11" spans="1:1" x14ac:dyDescent="0.35">
      <c r="A11" s="2" t="s">
        <v>4</v>
      </c>
    </row>
    <row r="13" spans="1:1" x14ac:dyDescent="0.35">
      <c r="A13" s="4" t="s">
        <v>3</v>
      </c>
    </row>
    <row r="14" spans="1:1" x14ac:dyDescent="0.35">
      <c r="A14" s="2" t="s">
        <v>7</v>
      </c>
    </row>
    <row r="15" spans="1:1" x14ac:dyDescent="0.35">
      <c r="A15" s="2" t="s">
        <v>8</v>
      </c>
    </row>
  </sheetData>
  <hyperlinks>
    <hyperlink ref="A5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9"/>
  <sheetViews>
    <sheetView tabSelected="1" topLeftCell="A21" zoomScaleNormal="100" workbookViewId="0">
      <selection activeCell="A10" sqref="A10"/>
    </sheetView>
  </sheetViews>
  <sheetFormatPr defaultRowHeight="14.5" x14ac:dyDescent="0.35"/>
  <cols>
    <col min="1" max="1" width="59" customWidth="1"/>
    <col min="2" max="3" width="11.54296875" bestFit="1" customWidth="1"/>
    <col min="4" max="4" width="11.6328125" bestFit="1" customWidth="1"/>
  </cols>
  <sheetData>
    <row r="1" spans="1:10" ht="60" customHeight="1" x14ac:dyDescent="0.35">
      <c r="A1" s="7" t="s">
        <v>56</v>
      </c>
      <c r="B1" s="8" t="s">
        <v>9</v>
      </c>
      <c r="C1" s="8"/>
      <c r="D1" s="8"/>
      <c r="E1" s="8"/>
      <c r="F1" s="8"/>
      <c r="G1" s="8"/>
      <c r="H1" s="8"/>
      <c r="I1" s="8"/>
      <c r="J1" s="8"/>
    </row>
    <row r="2" spans="1:10" x14ac:dyDescent="0.35">
      <c r="A2" s="21" t="s">
        <v>10</v>
      </c>
      <c r="B2" s="21"/>
      <c r="C2" s="21"/>
      <c r="D2" s="21"/>
    </row>
    <row r="3" spans="1:10" x14ac:dyDescent="0.35">
      <c r="B3" s="20" t="s">
        <v>57</v>
      </c>
      <c r="C3" s="20"/>
      <c r="D3" s="20"/>
    </row>
    <row r="4" spans="1:10" x14ac:dyDescent="0.35">
      <c r="B4" s="9">
        <v>2021</v>
      </c>
      <c r="C4" s="9">
        <v>2022</v>
      </c>
      <c r="D4" s="9"/>
    </row>
    <row r="5" spans="1:10" x14ac:dyDescent="0.35">
      <c r="A5" t="s">
        <v>94</v>
      </c>
      <c r="B5" s="12">
        <v>241787</v>
      </c>
      <c r="C5" s="12">
        <v>242901</v>
      </c>
    </row>
    <row r="6" spans="1:10" x14ac:dyDescent="0.35">
      <c r="A6" t="s">
        <v>95</v>
      </c>
      <c r="B6" s="12">
        <v>228035</v>
      </c>
      <c r="C6" s="12">
        <v>271082</v>
      </c>
      <c r="D6" s="10"/>
    </row>
    <row r="7" spans="1:10" x14ac:dyDescent="0.35">
      <c r="A7" s="33" t="s">
        <v>96</v>
      </c>
      <c r="B7" s="35">
        <f>SUM(B5:B6)</f>
        <v>469822</v>
      </c>
      <c r="C7" s="35">
        <f>SUM(C5:C6)</f>
        <v>513983</v>
      </c>
      <c r="D7" s="28"/>
    </row>
    <row r="8" spans="1:10" x14ac:dyDescent="0.35">
      <c r="A8" t="s">
        <v>98</v>
      </c>
      <c r="B8" s="12">
        <v>272344</v>
      </c>
      <c r="C8" s="12">
        <v>288831</v>
      </c>
      <c r="D8" s="10"/>
    </row>
    <row r="9" spans="1:10" x14ac:dyDescent="0.35">
      <c r="A9" t="s">
        <v>150</v>
      </c>
      <c r="B9" s="22">
        <f>B7-B8</f>
        <v>197478</v>
      </c>
      <c r="C9" s="22">
        <f>C7-C8</f>
        <v>225152</v>
      </c>
      <c r="D9" s="10"/>
    </row>
    <row r="10" spans="1:10" x14ac:dyDescent="0.35">
      <c r="A10" t="s">
        <v>97</v>
      </c>
      <c r="B10" s="22"/>
      <c r="C10" s="22"/>
      <c r="D10" s="10"/>
    </row>
    <row r="11" spans="1:10" x14ac:dyDescent="0.35">
      <c r="A11" t="s">
        <v>149</v>
      </c>
      <c r="B11" s="12">
        <v>75111</v>
      </c>
      <c r="C11" s="12">
        <v>84299</v>
      </c>
      <c r="D11" s="10"/>
    </row>
    <row r="12" spans="1:10" x14ac:dyDescent="0.35">
      <c r="A12" t="s">
        <v>99</v>
      </c>
      <c r="B12" s="12">
        <v>56052</v>
      </c>
      <c r="C12" s="12">
        <v>73213</v>
      </c>
      <c r="D12" s="10"/>
    </row>
    <row r="13" spans="1:10" x14ac:dyDescent="0.35">
      <c r="A13" t="s">
        <v>100</v>
      </c>
      <c r="B13" s="12">
        <v>32551</v>
      </c>
      <c r="C13" s="12">
        <v>42238</v>
      </c>
      <c r="D13" s="27"/>
    </row>
    <row r="14" spans="1:10" x14ac:dyDescent="0.35">
      <c r="A14" t="s">
        <v>101</v>
      </c>
      <c r="B14" s="12">
        <v>8823</v>
      </c>
      <c r="C14" s="12">
        <v>11891</v>
      </c>
      <c r="D14" s="27"/>
    </row>
    <row r="15" spans="1:10" x14ac:dyDescent="0.35">
      <c r="A15" t="s">
        <v>102</v>
      </c>
      <c r="B15">
        <v>62</v>
      </c>
      <c r="C15" s="12">
        <v>1263</v>
      </c>
      <c r="D15" s="10"/>
    </row>
    <row r="16" spans="1:10" x14ac:dyDescent="0.35">
      <c r="A16" s="33" t="s">
        <v>103</v>
      </c>
      <c r="B16" s="35">
        <f>B8+SUM(B11:B15)</f>
        <v>444943</v>
      </c>
      <c r="C16" s="35">
        <f>C8+SUM(C11:C15)</f>
        <v>501735</v>
      </c>
      <c r="D16" s="10"/>
    </row>
    <row r="17" spans="1:4" x14ac:dyDescent="0.35">
      <c r="A17" t="s">
        <v>104</v>
      </c>
      <c r="B17" s="12">
        <v>24879</v>
      </c>
      <c r="C17" s="12">
        <v>12248</v>
      </c>
      <c r="D17" s="10"/>
    </row>
    <row r="18" spans="1:4" x14ac:dyDescent="0.35">
      <c r="A18" t="s">
        <v>105</v>
      </c>
      <c r="B18">
        <v>448</v>
      </c>
      <c r="C18">
        <v>989</v>
      </c>
      <c r="D18" s="27"/>
    </row>
    <row r="19" spans="1:4" s="11" customFormat="1" x14ac:dyDescent="0.35">
      <c r="A19" t="s">
        <v>106</v>
      </c>
      <c r="B19" s="10">
        <v>-1809</v>
      </c>
      <c r="C19" s="10">
        <v>-2367</v>
      </c>
      <c r="D19" s="27"/>
    </row>
    <row r="20" spans="1:4" x14ac:dyDescent="0.35">
      <c r="A20" t="s">
        <v>107</v>
      </c>
      <c r="B20" s="10">
        <v>14633</v>
      </c>
      <c r="C20" s="10">
        <v>-16806</v>
      </c>
      <c r="D20" s="10"/>
    </row>
    <row r="21" spans="1:4" x14ac:dyDescent="0.35">
      <c r="A21" s="33" t="s">
        <v>108</v>
      </c>
      <c r="B21" s="36">
        <f>B17+B18+B19+B20</f>
        <v>38151</v>
      </c>
      <c r="C21" s="36">
        <f>C17+C18+C19+C20</f>
        <v>-5936</v>
      </c>
      <c r="D21" s="27"/>
    </row>
    <row r="22" spans="1:4" x14ac:dyDescent="0.35">
      <c r="A22" t="s">
        <v>109</v>
      </c>
      <c r="B22" s="31">
        <v>38151</v>
      </c>
      <c r="C22" s="28">
        <v>-5936</v>
      </c>
      <c r="D22" s="28"/>
    </row>
    <row r="23" spans="1:4" x14ac:dyDescent="0.35">
      <c r="A23" t="s">
        <v>110</v>
      </c>
      <c r="B23" s="31">
        <v>-4791</v>
      </c>
      <c r="C23" s="31">
        <v>3217</v>
      </c>
      <c r="D23" s="27"/>
    </row>
    <row r="24" spans="1:4" x14ac:dyDescent="0.35">
      <c r="A24" t="s">
        <v>111</v>
      </c>
      <c r="B24" s="24">
        <v>4</v>
      </c>
      <c r="C24" s="10">
        <v>-3</v>
      </c>
    </row>
    <row r="25" spans="1:4" x14ac:dyDescent="0.35">
      <c r="A25" s="33" t="s">
        <v>112</v>
      </c>
      <c r="B25" s="37">
        <v>33364</v>
      </c>
      <c r="C25" s="10">
        <v>-2722</v>
      </c>
      <c r="D25" s="23"/>
    </row>
    <row r="26" spans="1:4" x14ac:dyDescent="0.35">
      <c r="A26" t="s">
        <v>113</v>
      </c>
      <c r="B26" s="25">
        <v>3.3</v>
      </c>
      <c r="C26" s="40">
        <v>-0.27</v>
      </c>
      <c r="D26" s="23"/>
    </row>
    <row r="27" spans="1:4" x14ac:dyDescent="0.35">
      <c r="A27" t="s">
        <v>114</v>
      </c>
      <c r="B27" s="25">
        <v>3.24</v>
      </c>
      <c r="C27" s="40">
        <v>-0.27</v>
      </c>
    </row>
    <row r="28" spans="1:4" x14ac:dyDescent="0.35">
      <c r="A28" t="s">
        <v>115</v>
      </c>
      <c r="B28" s="12"/>
      <c r="C28" s="12"/>
      <c r="D28" s="12"/>
    </row>
    <row r="29" spans="1:4" x14ac:dyDescent="0.35">
      <c r="A29" t="s">
        <v>116</v>
      </c>
      <c r="B29" s="12">
        <v>10117</v>
      </c>
      <c r="C29" s="12">
        <v>10189</v>
      </c>
      <c r="D29" s="12"/>
    </row>
    <row r="30" spans="1:4" x14ac:dyDescent="0.35">
      <c r="A30" t="s">
        <v>117</v>
      </c>
      <c r="B30" s="12">
        <v>10296</v>
      </c>
      <c r="C30" s="12">
        <v>10189</v>
      </c>
    </row>
    <row r="32" spans="1:4" x14ac:dyDescent="0.35">
      <c r="A32" s="19" t="s">
        <v>12</v>
      </c>
      <c r="B32" s="19"/>
      <c r="C32" s="19"/>
      <c r="D32" s="19"/>
    </row>
    <row r="33" spans="1:4" x14ac:dyDescent="0.35">
      <c r="B33" s="20" t="s">
        <v>58</v>
      </c>
      <c r="C33" s="20"/>
      <c r="D33" s="20"/>
    </row>
    <row r="34" spans="1:4" x14ac:dyDescent="0.35">
      <c r="B34" s="9">
        <v>2021</v>
      </c>
      <c r="C34" s="9">
        <v>2022</v>
      </c>
      <c r="D34" s="9"/>
    </row>
    <row r="35" spans="1:4" x14ac:dyDescent="0.35">
      <c r="A35" t="s">
        <v>64</v>
      </c>
    </row>
    <row r="36" spans="1:4" x14ac:dyDescent="0.35">
      <c r="A36" t="s">
        <v>65</v>
      </c>
      <c r="B36" s="12">
        <v>36220</v>
      </c>
      <c r="C36" s="12">
        <v>53888</v>
      </c>
    </row>
    <row r="37" spans="1:4" x14ac:dyDescent="0.35">
      <c r="A37" s="1" t="s">
        <v>66</v>
      </c>
      <c r="B37" s="10">
        <v>59829</v>
      </c>
      <c r="C37" s="10">
        <v>16138</v>
      </c>
      <c r="D37" s="10"/>
    </row>
    <row r="38" spans="1:4" x14ac:dyDescent="0.35">
      <c r="A38" s="1" t="s">
        <v>67</v>
      </c>
      <c r="B38" s="10">
        <v>32640</v>
      </c>
      <c r="C38" s="10">
        <v>34405</v>
      </c>
      <c r="D38" s="10"/>
    </row>
    <row r="39" spans="1:4" x14ac:dyDescent="0.35">
      <c r="A39" s="1" t="s">
        <v>68</v>
      </c>
      <c r="B39" s="10">
        <v>32891</v>
      </c>
      <c r="C39" s="10">
        <v>42360</v>
      </c>
      <c r="D39" s="10"/>
    </row>
    <row r="40" spans="1:4" x14ac:dyDescent="0.35">
      <c r="A40" s="1" t="s">
        <v>69</v>
      </c>
      <c r="B40" s="10">
        <f>SUM(B36:B39)</f>
        <v>161580</v>
      </c>
      <c r="C40" s="10">
        <f>SUM(C36:C39)</f>
        <v>146791</v>
      </c>
      <c r="D40" s="10"/>
    </row>
    <row r="41" spans="1:4" x14ac:dyDescent="0.35">
      <c r="A41" s="1" t="s">
        <v>70</v>
      </c>
      <c r="B41" s="10">
        <v>160281</v>
      </c>
      <c r="C41" s="10">
        <v>186715</v>
      </c>
      <c r="D41" s="10"/>
    </row>
    <row r="42" spans="1:4" x14ac:dyDescent="0.35">
      <c r="A42" s="30" t="s">
        <v>71</v>
      </c>
      <c r="B42" s="28">
        <v>56082</v>
      </c>
      <c r="C42" s="28">
        <v>66123</v>
      </c>
      <c r="D42" s="28"/>
    </row>
    <row r="43" spans="1:4" x14ac:dyDescent="0.35">
      <c r="A43" s="29" t="s">
        <v>72</v>
      </c>
      <c r="B43" s="31">
        <v>15371</v>
      </c>
      <c r="C43" s="31">
        <v>20288</v>
      </c>
      <c r="D43" s="27"/>
    </row>
    <row r="44" spans="1:4" x14ac:dyDescent="0.35">
      <c r="A44" s="1" t="s">
        <v>73</v>
      </c>
      <c r="B44" s="10">
        <v>27235</v>
      </c>
      <c r="C44" s="10">
        <v>42758</v>
      </c>
      <c r="D44" s="10"/>
    </row>
    <row r="45" spans="1:4" x14ac:dyDescent="0.35">
      <c r="A45" s="39" t="s">
        <v>74</v>
      </c>
      <c r="B45" s="35">
        <f>SUM(B40:B44)</f>
        <v>420549</v>
      </c>
      <c r="C45" s="35">
        <f>SUM(C40:C44)</f>
        <v>462675</v>
      </c>
      <c r="D45" s="10"/>
    </row>
    <row r="46" spans="1:4" x14ac:dyDescent="0.35">
      <c r="A46" s="1" t="s">
        <v>75</v>
      </c>
      <c r="B46" s="10"/>
      <c r="C46" s="10"/>
      <c r="D46" s="10"/>
    </row>
    <row r="47" spans="1:4" x14ac:dyDescent="0.35">
      <c r="A47" s="1" t="s">
        <v>76</v>
      </c>
      <c r="B47" s="10"/>
      <c r="C47" s="10"/>
      <c r="D47" s="10"/>
    </row>
    <row r="48" spans="1:4" x14ac:dyDescent="0.35">
      <c r="A48" s="29" t="s">
        <v>77</v>
      </c>
      <c r="B48" s="31">
        <v>78664</v>
      </c>
      <c r="C48" s="31">
        <v>79600</v>
      </c>
      <c r="D48" s="27"/>
    </row>
    <row r="49" spans="1:4" x14ac:dyDescent="0.35">
      <c r="A49" s="29" t="s">
        <v>78</v>
      </c>
      <c r="B49" s="31">
        <v>51775</v>
      </c>
      <c r="C49" s="38">
        <v>62566</v>
      </c>
      <c r="D49" s="27"/>
    </row>
    <row r="50" spans="1:4" x14ac:dyDescent="0.35">
      <c r="A50" s="1" t="s">
        <v>79</v>
      </c>
      <c r="B50" s="12">
        <v>11827</v>
      </c>
      <c r="C50" s="12">
        <v>13227</v>
      </c>
    </row>
    <row r="51" spans="1:4" x14ac:dyDescent="0.35">
      <c r="A51" s="1" t="s">
        <v>80</v>
      </c>
      <c r="B51" s="22">
        <f>SUM(B48:B50)</f>
        <v>142266</v>
      </c>
      <c r="C51" s="22">
        <f>SUM(C48:C50)</f>
        <v>155393</v>
      </c>
    </row>
    <row r="52" spans="1:4" x14ac:dyDescent="0.35">
      <c r="A52" t="s">
        <v>81</v>
      </c>
      <c r="B52" s="12">
        <v>67651</v>
      </c>
      <c r="C52" s="12">
        <v>72968</v>
      </c>
      <c r="D52" s="10"/>
    </row>
    <row r="53" spans="1:4" x14ac:dyDescent="0.35">
      <c r="A53" t="s">
        <v>82</v>
      </c>
      <c r="B53" s="12">
        <v>48744</v>
      </c>
      <c r="C53" s="12">
        <v>67150</v>
      </c>
      <c r="D53" s="10"/>
    </row>
    <row r="54" spans="1:4" x14ac:dyDescent="0.35">
      <c r="A54" s="1" t="s">
        <v>83</v>
      </c>
      <c r="B54" s="12">
        <v>23643</v>
      </c>
      <c r="C54" s="12">
        <v>21121</v>
      </c>
      <c r="D54" s="10"/>
    </row>
    <row r="55" spans="1:4" x14ac:dyDescent="0.35">
      <c r="A55" s="1" t="s">
        <v>148</v>
      </c>
      <c r="B55" s="12">
        <f>SUM(B52:B54)</f>
        <v>140038</v>
      </c>
      <c r="C55" s="12">
        <f>SUM(C52:C54)</f>
        <v>161239</v>
      </c>
      <c r="D55" s="10"/>
    </row>
    <row r="56" spans="1:4" x14ac:dyDescent="0.35">
      <c r="A56" s="1" t="s">
        <v>84</v>
      </c>
      <c r="B56" s="10"/>
      <c r="C56" s="10"/>
      <c r="D56" s="10"/>
    </row>
    <row r="57" spans="1:4" x14ac:dyDescent="0.35">
      <c r="A57" s="30" t="s">
        <v>85</v>
      </c>
      <c r="B57" s="28"/>
      <c r="C57" s="28"/>
      <c r="D57" s="28"/>
    </row>
    <row r="58" spans="1:4" x14ac:dyDescent="0.35">
      <c r="A58" s="29" t="s">
        <v>86</v>
      </c>
      <c r="B58" s="27"/>
      <c r="C58" s="27"/>
      <c r="D58" s="27"/>
    </row>
    <row r="59" spans="1:4" x14ac:dyDescent="0.35">
      <c r="A59" s="1" t="s">
        <v>87</v>
      </c>
      <c r="B59" s="10">
        <v>106</v>
      </c>
      <c r="C59" s="10">
        <v>108</v>
      </c>
      <c r="D59" s="10"/>
    </row>
    <row r="60" spans="1:4" x14ac:dyDescent="0.35">
      <c r="A60" t="s">
        <v>88</v>
      </c>
      <c r="B60" s="10">
        <v>-1837</v>
      </c>
      <c r="C60" s="10">
        <v>-7837</v>
      </c>
      <c r="D60" s="10"/>
    </row>
    <row r="61" spans="1:4" x14ac:dyDescent="0.35">
      <c r="A61" s="1" t="s">
        <v>89</v>
      </c>
      <c r="B61" s="10">
        <v>55437</v>
      </c>
      <c r="C61" s="10">
        <v>75066</v>
      </c>
      <c r="D61" s="10"/>
    </row>
    <row r="62" spans="1:4" x14ac:dyDescent="0.35">
      <c r="A62" s="1" t="s">
        <v>90</v>
      </c>
      <c r="B62" s="10">
        <v>-1376</v>
      </c>
      <c r="C62" s="10">
        <v>-4487</v>
      </c>
      <c r="D62" s="10"/>
    </row>
    <row r="63" spans="1:4" x14ac:dyDescent="0.35">
      <c r="A63" s="32" t="s">
        <v>91</v>
      </c>
      <c r="B63" s="28">
        <v>85915</v>
      </c>
      <c r="C63" s="28">
        <v>83193</v>
      </c>
      <c r="D63" s="28"/>
    </row>
    <row r="64" spans="1:4" x14ac:dyDescent="0.35">
      <c r="A64" s="29" t="s">
        <v>92</v>
      </c>
      <c r="B64" s="31">
        <f>SUM(B59:B63)</f>
        <v>138245</v>
      </c>
      <c r="C64" s="31">
        <f>SUM(C59:C63)</f>
        <v>146043</v>
      </c>
      <c r="D64" s="27"/>
    </row>
    <row r="65" spans="1:4" x14ac:dyDescent="0.35">
      <c r="A65" s="33" t="s">
        <v>93</v>
      </c>
      <c r="B65" s="35">
        <f>B51+B55+B64</f>
        <v>420549</v>
      </c>
      <c r="C65" s="35">
        <f>C51+C55+C64</f>
        <v>462675</v>
      </c>
      <c r="D65" s="10"/>
    </row>
    <row r="66" spans="1:4" x14ac:dyDescent="0.35">
      <c r="B66" s="10"/>
      <c r="C66" s="10"/>
      <c r="D66" s="10"/>
    </row>
    <row r="67" spans="1:4" x14ac:dyDescent="0.35">
      <c r="A67" s="1"/>
      <c r="B67" s="10"/>
      <c r="C67" s="10"/>
      <c r="D67" s="10"/>
    </row>
    <row r="68" spans="1:4" x14ac:dyDescent="0.35">
      <c r="A68" s="1"/>
      <c r="B68" s="10"/>
      <c r="C68" s="10"/>
      <c r="D68" s="10"/>
    </row>
    <row r="69" spans="1:4" x14ac:dyDescent="0.35">
      <c r="A69" s="1"/>
      <c r="B69" s="10"/>
      <c r="C69" s="10"/>
      <c r="D69" s="10"/>
    </row>
    <row r="70" spans="1:4" x14ac:dyDescent="0.35">
      <c r="A70" s="26"/>
      <c r="B70" s="27"/>
      <c r="C70" s="27"/>
      <c r="D70" s="27"/>
    </row>
    <row r="71" spans="1:4" x14ac:dyDescent="0.35">
      <c r="A71" s="26"/>
      <c r="B71" s="27"/>
      <c r="C71" s="27"/>
      <c r="D71" s="27"/>
    </row>
    <row r="73" spans="1:4" x14ac:dyDescent="0.35">
      <c r="A73" s="19" t="s">
        <v>13</v>
      </c>
      <c r="B73" s="19"/>
      <c r="C73" s="19"/>
      <c r="D73" s="19"/>
    </row>
    <row r="74" spans="1:4" x14ac:dyDescent="0.35">
      <c r="B74" s="20" t="s">
        <v>57</v>
      </c>
      <c r="C74" s="20"/>
      <c r="D74" s="20"/>
    </row>
    <row r="75" spans="1:4" x14ac:dyDescent="0.35">
      <c r="B75" s="9">
        <v>2021</v>
      </c>
      <c r="C75" s="9">
        <v>2022</v>
      </c>
      <c r="D75" s="9"/>
    </row>
    <row r="76" spans="1:4" x14ac:dyDescent="0.35">
      <c r="A76" s="33" t="s">
        <v>118</v>
      </c>
      <c r="B76" s="34">
        <v>42377</v>
      </c>
      <c r="C76" s="34">
        <v>36477</v>
      </c>
    </row>
    <row r="77" spans="1:4" x14ac:dyDescent="0.35">
      <c r="A77" t="s">
        <v>119</v>
      </c>
      <c r="B77" s="12">
        <v>33364</v>
      </c>
      <c r="C77" s="41">
        <v>-2722</v>
      </c>
      <c r="D77" s="13"/>
    </row>
    <row r="78" spans="1:4" x14ac:dyDescent="0.35">
      <c r="A78" t="s">
        <v>112</v>
      </c>
      <c r="B78" s="12"/>
      <c r="C78" s="10"/>
      <c r="D78" s="10"/>
    </row>
    <row r="79" spans="1:4" x14ac:dyDescent="0.35">
      <c r="A79" t="s">
        <v>120</v>
      </c>
      <c r="B79" s="13"/>
      <c r="C79" s="13"/>
      <c r="D79" s="13"/>
    </row>
    <row r="80" spans="1:4" x14ac:dyDescent="0.35">
      <c r="A80" t="s">
        <v>121</v>
      </c>
      <c r="B80" s="12">
        <v>34433</v>
      </c>
      <c r="C80" s="12">
        <v>41921</v>
      </c>
      <c r="D80" s="10"/>
    </row>
    <row r="81" spans="1:4" x14ac:dyDescent="0.35">
      <c r="A81" t="s">
        <v>122</v>
      </c>
      <c r="B81" s="12">
        <v>12757</v>
      </c>
      <c r="C81" s="12">
        <v>19621</v>
      </c>
      <c r="D81" s="10"/>
    </row>
    <row r="82" spans="1:4" x14ac:dyDescent="0.35">
      <c r="A82" t="s">
        <v>123</v>
      </c>
      <c r="B82" s="41">
        <v>-14306</v>
      </c>
      <c r="C82" s="12">
        <v>16966</v>
      </c>
      <c r="D82" s="10"/>
    </row>
    <row r="83" spans="1:4" x14ac:dyDescent="0.35">
      <c r="A83" t="s">
        <v>124</v>
      </c>
      <c r="B83" s="41">
        <v>-310</v>
      </c>
      <c r="C83" s="41">
        <v>-8148</v>
      </c>
      <c r="D83" s="10"/>
    </row>
    <row r="84" spans="1:4" x14ac:dyDescent="0.35">
      <c r="A84" t="s">
        <v>125</v>
      </c>
      <c r="B84" s="10"/>
      <c r="C84" s="10"/>
      <c r="D84" s="10"/>
    </row>
    <row r="85" spans="1:4" x14ac:dyDescent="0.35">
      <c r="A85" t="s">
        <v>126</v>
      </c>
      <c r="B85" s="10">
        <v>-9487</v>
      </c>
      <c r="C85" s="10">
        <v>-2592</v>
      </c>
      <c r="D85" s="10"/>
    </row>
    <row r="86" spans="1:4" x14ac:dyDescent="0.35">
      <c r="A86" t="s">
        <v>68</v>
      </c>
      <c r="B86" s="10">
        <v>-18163</v>
      </c>
      <c r="C86" s="10">
        <v>-21897</v>
      </c>
      <c r="D86" s="10"/>
    </row>
    <row r="87" spans="1:4" x14ac:dyDescent="0.35">
      <c r="A87" t="s">
        <v>77</v>
      </c>
      <c r="B87" s="12">
        <v>3602</v>
      </c>
      <c r="C87" s="12">
        <v>2945</v>
      </c>
      <c r="D87" s="10"/>
    </row>
    <row r="88" spans="1:4" x14ac:dyDescent="0.35">
      <c r="A88" t="s">
        <v>127</v>
      </c>
      <c r="B88" s="12">
        <v>2123</v>
      </c>
      <c r="C88" s="10">
        <v>-1558</v>
      </c>
      <c r="D88" s="10"/>
    </row>
    <row r="89" spans="1:4" x14ac:dyDescent="0.35">
      <c r="A89" t="s">
        <v>79</v>
      </c>
      <c r="B89" s="12">
        <v>2314</v>
      </c>
      <c r="C89" s="12">
        <v>2216</v>
      </c>
      <c r="D89" s="10"/>
    </row>
    <row r="90" spans="1:4" x14ac:dyDescent="0.35">
      <c r="A90" s="33" t="s">
        <v>128</v>
      </c>
      <c r="B90" s="35">
        <v>46327</v>
      </c>
      <c r="C90" s="35">
        <v>46752</v>
      </c>
      <c r="D90" s="10"/>
    </row>
    <row r="91" spans="1:4" x14ac:dyDescent="0.35">
      <c r="A91" t="s">
        <v>129</v>
      </c>
      <c r="B91" s="10"/>
      <c r="C91" s="10"/>
      <c r="D91" s="10"/>
    </row>
    <row r="92" spans="1:4" x14ac:dyDescent="0.35">
      <c r="A92" t="s">
        <v>130</v>
      </c>
      <c r="B92" s="10">
        <v>-61053</v>
      </c>
      <c r="C92" s="10">
        <v>-63645</v>
      </c>
      <c r="D92" s="28"/>
    </row>
    <row r="93" spans="1:4" x14ac:dyDescent="0.35">
      <c r="A93" t="s">
        <v>131</v>
      </c>
      <c r="B93" s="12">
        <v>5657</v>
      </c>
      <c r="C93" s="12">
        <v>5324</v>
      </c>
      <c r="D93" s="27"/>
    </row>
    <row r="94" spans="1:4" x14ac:dyDescent="0.35">
      <c r="A94" t="s">
        <v>132</v>
      </c>
      <c r="B94" s="10">
        <v>-1985</v>
      </c>
      <c r="C94" s="10">
        <v>-8316</v>
      </c>
      <c r="D94" s="10"/>
    </row>
    <row r="95" spans="1:4" x14ac:dyDescent="0.35">
      <c r="A95" t="s">
        <v>133</v>
      </c>
      <c r="B95" s="12">
        <v>59384</v>
      </c>
      <c r="C95" s="12">
        <v>31601</v>
      </c>
      <c r="D95" s="10"/>
    </row>
    <row r="96" spans="1:4" x14ac:dyDescent="0.35">
      <c r="A96" t="s">
        <v>134</v>
      </c>
      <c r="B96" s="10">
        <v>-60157</v>
      </c>
      <c r="C96" s="10">
        <v>-2565</v>
      </c>
      <c r="D96" s="10"/>
    </row>
    <row r="97" spans="1:4" x14ac:dyDescent="0.35">
      <c r="A97" s="33" t="s">
        <v>135</v>
      </c>
      <c r="B97" s="35">
        <v>-58154</v>
      </c>
      <c r="C97" s="35">
        <v>-2565</v>
      </c>
      <c r="D97" s="10"/>
    </row>
    <row r="98" spans="1:4" x14ac:dyDescent="0.35">
      <c r="A98" t="s">
        <v>136</v>
      </c>
      <c r="B98" s="10"/>
      <c r="C98" s="10"/>
      <c r="D98" s="10"/>
    </row>
    <row r="99" spans="1:4" x14ac:dyDescent="0.35">
      <c r="A99" t="s">
        <v>137</v>
      </c>
      <c r="B99" s="10"/>
      <c r="C99" s="10">
        <v>-6000</v>
      </c>
      <c r="D99" s="10"/>
    </row>
    <row r="100" spans="1:4" x14ac:dyDescent="0.35">
      <c r="A100" t="s">
        <v>138</v>
      </c>
      <c r="B100" s="12">
        <v>7956</v>
      </c>
      <c r="C100" s="12">
        <v>41553</v>
      </c>
      <c r="D100" s="10"/>
    </row>
    <row r="101" spans="1:4" x14ac:dyDescent="0.35">
      <c r="A101" t="s">
        <v>139</v>
      </c>
      <c r="B101" s="10">
        <v>-7753</v>
      </c>
      <c r="C101" s="10">
        <v>-37554</v>
      </c>
      <c r="D101" s="10"/>
    </row>
    <row r="102" spans="1:4" x14ac:dyDescent="0.35">
      <c r="A102" t="s">
        <v>140</v>
      </c>
      <c r="B102" s="12">
        <v>19003</v>
      </c>
      <c r="C102" s="12">
        <v>21166</v>
      </c>
      <c r="D102" s="28"/>
    </row>
    <row r="103" spans="1:4" x14ac:dyDescent="0.35">
      <c r="A103" t="s">
        <v>141</v>
      </c>
      <c r="B103" s="10">
        <v>-1590</v>
      </c>
      <c r="C103" s="10">
        <v>-1258</v>
      </c>
      <c r="D103" s="27"/>
    </row>
    <row r="104" spans="1:4" x14ac:dyDescent="0.35">
      <c r="A104" t="s">
        <v>142</v>
      </c>
      <c r="B104" s="10">
        <v>-11163</v>
      </c>
      <c r="C104" s="10">
        <v>-7941</v>
      </c>
      <c r="D104" s="10"/>
    </row>
    <row r="105" spans="1:4" x14ac:dyDescent="0.35">
      <c r="A105" t="s">
        <v>143</v>
      </c>
      <c r="B105" s="10">
        <v>-162</v>
      </c>
      <c r="C105" s="10">
        <v>-248</v>
      </c>
      <c r="D105" s="10"/>
    </row>
    <row r="106" spans="1:4" x14ac:dyDescent="0.35">
      <c r="A106" s="33" t="s">
        <v>144</v>
      </c>
      <c r="B106" s="34">
        <v>6291</v>
      </c>
      <c r="C106" s="34">
        <v>9718</v>
      </c>
      <c r="D106" s="10"/>
    </row>
    <row r="107" spans="1:4" x14ac:dyDescent="0.35">
      <c r="A107" t="s">
        <v>145</v>
      </c>
      <c r="B107" s="10">
        <v>-364</v>
      </c>
      <c r="C107" s="10">
        <v>-1093</v>
      </c>
      <c r="D107" s="10"/>
    </row>
    <row r="108" spans="1:4" x14ac:dyDescent="0.35">
      <c r="A108" t="s">
        <v>146</v>
      </c>
      <c r="B108" s="10">
        <v>-5900</v>
      </c>
      <c r="C108" s="12">
        <v>17776</v>
      </c>
      <c r="D108" s="10"/>
    </row>
    <row r="109" spans="1:4" x14ac:dyDescent="0.35">
      <c r="A109" s="33" t="s">
        <v>147</v>
      </c>
      <c r="B109" s="34">
        <v>36477</v>
      </c>
      <c r="C109" s="34">
        <v>54253</v>
      </c>
      <c r="D109" s="10"/>
    </row>
    <row r="110" spans="1:4" x14ac:dyDescent="0.35">
      <c r="A110" s="1"/>
      <c r="B110" s="10"/>
      <c r="C110" s="10"/>
      <c r="D110" s="10"/>
    </row>
    <row r="111" spans="1:4" x14ac:dyDescent="0.35">
      <c r="A111" s="1"/>
      <c r="B111" s="10"/>
      <c r="C111" s="10"/>
      <c r="D111" s="10"/>
    </row>
    <row r="112" spans="1:4" x14ac:dyDescent="0.35">
      <c r="A112" s="1"/>
      <c r="B112" s="10"/>
      <c r="C112" s="10"/>
      <c r="D112" s="10"/>
    </row>
    <row r="113" spans="1:4" x14ac:dyDescent="0.35">
      <c r="A113" s="26"/>
      <c r="B113" s="27"/>
      <c r="C113" s="27"/>
      <c r="D113" s="27"/>
    </row>
    <row r="114" spans="1:4" x14ac:dyDescent="0.35">
      <c r="A114" s="26"/>
      <c r="B114" s="27"/>
      <c r="C114" s="27"/>
      <c r="D114" s="27"/>
    </row>
    <row r="115" spans="1:4" x14ac:dyDescent="0.35">
      <c r="A115" s="26"/>
      <c r="B115" s="27"/>
      <c r="C115" s="27"/>
      <c r="D115" s="27"/>
    </row>
    <row r="116" spans="1:4" x14ac:dyDescent="0.35">
      <c r="B116" s="10"/>
      <c r="C116" s="10"/>
      <c r="D116" s="10"/>
    </row>
    <row r="117" spans="1:4" x14ac:dyDescent="0.35">
      <c r="B117" s="10"/>
      <c r="C117" s="10"/>
      <c r="D117" s="10"/>
    </row>
    <row r="118" spans="1:4" x14ac:dyDescent="0.35">
      <c r="B118" s="10"/>
      <c r="C118" s="10"/>
      <c r="D118" s="10"/>
    </row>
    <row r="119" spans="1:4" x14ac:dyDescent="0.35">
      <c r="B119" s="10"/>
      <c r="C119" s="10"/>
      <c r="D119" s="10"/>
    </row>
  </sheetData>
  <mergeCells count="4">
    <mergeCell ref="B74:D74"/>
    <mergeCell ref="A2:D2"/>
    <mergeCell ref="B3:D3"/>
    <mergeCell ref="B33:D33"/>
  </mergeCells>
  <pageMargins left="0.7" right="0.7" top="0.75" bottom="0.75" header="0.3" footer="0.3"/>
  <ignoredErrors>
    <ignoredError sqref="B7:C7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52"/>
  <sheetViews>
    <sheetView topLeftCell="A11" workbookViewId="0">
      <selection activeCell="B2" sqref="B2:E52"/>
    </sheetView>
  </sheetViews>
  <sheetFormatPr defaultRowHeight="14.5" x14ac:dyDescent="0.35"/>
  <cols>
    <col min="1" max="1" width="4.6328125" customWidth="1"/>
    <col min="2" max="2" width="44.90625" customWidth="1"/>
    <col min="3" max="4" width="13.453125" bestFit="1" customWidth="1"/>
  </cols>
  <sheetData>
    <row r="1" spans="1:10" ht="60" customHeight="1" x14ac:dyDescent="0.6">
      <c r="A1" s="7"/>
      <c r="B1" s="15" t="s">
        <v>59</v>
      </c>
      <c r="C1" s="16"/>
      <c r="D1" s="16"/>
      <c r="E1" s="16"/>
      <c r="F1" s="16"/>
      <c r="G1" s="16"/>
      <c r="H1" s="16"/>
      <c r="I1" s="16"/>
      <c r="J1" s="16"/>
    </row>
    <row r="2" spans="1:10" x14ac:dyDescent="0.35">
      <c r="C2" s="20" t="s">
        <v>60</v>
      </c>
      <c r="D2" s="20"/>
      <c r="E2" s="20"/>
    </row>
    <row r="3" spans="1:10" x14ac:dyDescent="0.35">
      <c r="C3" s="9">
        <v>2021</v>
      </c>
      <c r="D3" s="9">
        <v>2022</v>
      </c>
      <c r="E3" s="9"/>
    </row>
    <row r="4" spans="1:10" x14ac:dyDescent="0.35">
      <c r="A4" s="17">
        <v>1</v>
      </c>
      <c r="B4" s="9" t="s">
        <v>14</v>
      </c>
    </row>
    <row r="5" spans="1:10" x14ac:dyDescent="0.35">
      <c r="A5" s="17">
        <f>+A4+0.1</f>
        <v>1.1000000000000001</v>
      </c>
      <c r="B5" s="1" t="s">
        <v>15</v>
      </c>
      <c r="C5" s="43">
        <f>'Financial Statements'!B40/'Financial Statements'!B51</f>
        <v>1.1357597739445826</v>
      </c>
      <c r="D5" s="43">
        <f>'Financial Statements'!C40/'Financial Statements'!C51</f>
        <v>0.9446435811136924</v>
      </c>
    </row>
    <row r="6" spans="1:10" x14ac:dyDescent="0.35">
      <c r="A6" s="17">
        <f t="shared" ref="A6:A13" si="0">+A5+0.1</f>
        <v>1.2000000000000002</v>
      </c>
      <c r="B6" s="1" t="s">
        <v>16</v>
      </c>
      <c r="C6" s="43">
        <f>('Financial Statements'!B40-'Financial Statements'!B38)/'Financial Statements'!B51</f>
        <v>0.90633039517523517</v>
      </c>
      <c r="D6" s="43">
        <f>('Financial Statements'!C40-'Financial Statements'!C38)/'Financial Statements'!C51</f>
        <v>0.72323721145740161</v>
      </c>
    </row>
    <row r="7" spans="1:10" x14ac:dyDescent="0.35">
      <c r="A7" s="17">
        <f t="shared" si="0"/>
        <v>1.3000000000000003</v>
      </c>
      <c r="B7" s="1" t="s">
        <v>17</v>
      </c>
      <c r="C7" s="43">
        <f>'Financial Statements'!B36/'Financial Statements'!B51</f>
        <v>0.25459350793583851</v>
      </c>
      <c r="D7" s="43">
        <f>'Financial Statements'!C36/'Financial Statements'!C51</f>
        <v>0.34678524772673158</v>
      </c>
    </row>
    <row r="8" spans="1:10" x14ac:dyDescent="0.35">
      <c r="A8" s="17">
        <f t="shared" si="0"/>
        <v>1.4000000000000004</v>
      </c>
      <c r="B8" s="1" t="s">
        <v>18</v>
      </c>
      <c r="C8" s="43">
        <f>('Financial Statements'!B36+'Financial Statements'!B37+'Financial Statements'!B39)/('Financial Statements'!B16/365)</f>
        <v>105.77332377405646</v>
      </c>
      <c r="D8" s="43">
        <f>('Financial Statements'!C36+'Financial Statements'!C37+'Financial Statements'!C39)/('Financial Statements'!C16/365)</f>
        <v>81.758079464259026</v>
      </c>
    </row>
    <row r="9" spans="1:10" x14ac:dyDescent="0.35">
      <c r="A9" s="17">
        <f t="shared" si="0"/>
        <v>1.5000000000000004</v>
      </c>
      <c r="B9" s="1" t="s">
        <v>19</v>
      </c>
      <c r="C9" s="43">
        <f>('Financial Statements'!B38/'Financial Statements'!B8)*365</f>
        <v>43.744675851129458</v>
      </c>
      <c r="D9" s="43">
        <f>('Financial Statements'!C38/'Financial Statements'!C8)*365</f>
        <v>43.4781065744328</v>
      </c>
    </row>
    <row r="10" spans="1:10" x14ac:dyDescent="0.35">
      <c r="A10" s="17">
        <f t="shared" si="0"/>
        <v>1.6000000000000005</v>
      </c>
      <c r="B10" s="1" t="s">
        <v>20</v>
      </c>
      <c r="C10" s="43">
        <f>('Financial Statements'!B48/'Financial Statements'!B8)*365</f>
        <v>105.42681314807743</v>
      </c>
      <c r="D10" s="43">
        <f>('Financial Statements'!C48/'Financial Statements'!C8)*365</f>
        <v>100.59169548975007</v>
      </c>
    </row>
    <row r="11" spans="1:10" x14ac:dyDescent="0.35">
      <c r="A11" s="17">
        <f t="shared" si="0"/>
        <v>1.7000000000000006</v>
      </c>
      <c r="B11" s="1" t="s">
        <v>21</v>
      </c>
      <c r="C11" s="43">
        <f>('Financial Statements'!B39/'Financial Statements'!B8)*365</f>
        <v>44.081070264077781</v>
      </c>
      <c r="D11" s="43">
        <f>('Financial Statements'!C39/'Financial Statements'!C8)*365</f>
        <v>53.530957549570509</v>
      </c>
    </row>
    <row r="12" spans="1:10" x14ac:dyDescent="0.35">
      <c r="A12" s="17">
        <f t="shared" si="0"/>
        <v>1.8000000000000007</v>
      </c>
      <c r="B12" s="1" t="s">
        <v>22</v>
      </c>
      <c r="C12" s="43">
        <f>C9+C11-C10</f>
        <v>-17.601067032870191</v>
      </c>
      <c r="D12" s="43">
        <f>D9+D11-D10</f>
        <v>-3.5826313657467495</v>
      </c>
    </row>
    <row r="13" spans="1:10" x14ac:dyDescent="0.35">
      <c r="A13" s="17">
        <f t="shared" si="0"/>
        <v>1.9000000000000008</v>
      </c>
      <c r="B13" s="1" t="s">
        <v>23</v>
      </c>
      <c r="C13" s="43">
        <f>('List of Ratios'!C14/'Financial Statements'!B7)*100</f>
        <v>4.1109186032156861</v>
      </c>
      <c r="D13" s="43">
        <f>('List of Ratios'!D14/'Financial Statements'!C7)*100</f>
        <v>-1.6735962084349094</v>
      </c>
    </row>
    <row r="14" spans="1:10" x14ac:dyDescent="0.35">
      <c r="A14" s="17"/>
      <c r="B14" s="14" t="s">
        <v>24</v>
      </c>
      <c r="C14" s="43">
        <f>'Financial Statements'!B40-'Financial Statements'!B51</f>
        <v>19314</v>
      </c>
      <c r="D14" s="43">
        <f>'Financial Statements'!C40-'Financial Statements'!C51</f>
        <v>-8602</v>
      </c>
    </row>
    <row r="15" spans="1:10" x14ac:dyDescent="0.35">
      <c r="A15" s="17"/>
      <c r="C15" s="43"/>
      <c r="D15" s="43"/>
    </row>
    <row r="16" spans="1:10" x14ac:dyDescent="0.35">
      <c r="A16" s="17">
        <f>+A4+1</f>
        <v>2</v>
      </c>
      <c r="B16" s="18" t="s">
        <v>25</v>
      </c>
      <c r="C16" s="43"/>
      <c r="D16" s="43"/>
    </row>
    <row r="17" spans="1:4" x14ac:dyDescent="0.35">
      <c r="A17" s="17">
        <f>+A16+0.1</f>
        <v>2.1</v>
      </c>
      <c r="B17" s="1" t="s">
        <v>11</v>
      </c>
      <c r="C17" s="43">
        <f>('Financial Statements'!B9/'Financial Statements'!B7)*100</f>
        <v>42.032514441639599</v>
      </c>
      <c r="D17" s="43">
        <f>('Financial Statements'!C9/'Financial Statements'!C7)*100</f>
        <v>43.805339865326289</v>
      </c>
    </row>
    <row r="18" spans="1:4" x14ac:dyDescent="0.35">
      <c r="A18" s="17">
        <f>+A17+0.1</f>
        <v>2.2000000000000002</v>
      </c>
      <c r="B18" s="1" t="s">
        <v>26</v>
      </c>
      <c r="C18" s="43">
        <f>(C19/'Financial Statements'!B7)*100</f>
        <v>12.624355607017126</v>
      </c>
      <c r="D18" s="43">
        <f>(D19/'Financial Statements'!C7)*100</f>
        <v>10.539064521589236</v>
      </c>
    </row>
    <row r="19" spans="1:4" x14ac:dyDescent="0.35">
      <c r="A19" s="17"/>
      <c r="B19" s="14" t="s">
        <v>27</v>
      </c>
      <c r="C19" s="43">
        <f>'Financial Statements'!B17+'Financial Statements'!B80</f>
        <v>59312</v>
      </c>
      <c r="D19" s="43">
        <f>'Financial Statements'!C17+'Financial Statements'!C80</f>
        <v>54169</v>
      </c>
    </row>
    <row r="20" spans="1:4" x14ac:dyDescent="0.35">
      <c r="A20" s="17">
        <f>+A18+0.1</f>
        <v>2.3000000000000003</v>
      </c>
      <c r="B20" s="1" t="s">
        <v>28</v>
      </c>
      <c r="C20" s="43">
        <f>(C21/'Financial Statements'!B7)*100</f>
        <v>5.2954097509269467</v>
      </c>
      <c r="D20" s="43">
        <f>(D21/'Financial Statements'!C7)*100</f>
        <v>2.382958191224223</v>
      </c>
    </row>
    <row r="21" spans="1:4" x14ac:dyDescent="0.35">
      <c r="A21" s="17"/>
      <c r="B21" s="14" t="s">
        <v>29</v>
      </c>
      <c r="C21" s="43">
        <f>'Financial Statements'!B17</f>
        <v>24879</v>
      </c>
      <c r="D21" s="43">
        <f>'Financial Statements'!C17</f>
        <v>12248</v>
      </c>
    </row>
    <row r="22" spans="1:4" x14ac:dyDescent="0.35">
      <c r="A22" s="17">
        <f>+A20+0.1</f>
        <v>2.4000000000000004</v>
      </c>
      <c r="B22" s="1" t="s">
        <v>30</v>
      </c>
      <c r="C22" s="43">
        <f>('Financial Statements'!B25/'Financial Statements'!B7)*100</f>
        <v>7.1014128755145567</v>
      </c>
      <c r="D22" s="43">
        <f>('Financial Statements'!C25/'Financial Statements'!C7)*100</f>
        <v>-0.52958950004183014</v>
      </c>
    </row>
    <row r="23" spans="1:4" x14ac:dyDescent="0.35">
      <c r="A23" s="17"/>
    </row>
    <row r="24" spans="1:4" x14ac:dyDescent="0.35">
      <c r="A24" s="17">
        <f>+A16+1</f>
        <v>3</v>
      </c>
      <c r="B24" s="9" t="s">
        <v>31</v>
      </c>
    </row>
    <row r="25" spans="1:4" x14ac:dyDescent="0.35">
      <c r="A25" s="17">
        <f>+A24+0.1</f>
        <v>3.1</v>
      </c>
      <c r="B25" s="1" t="s">
        <v>32</v>
      </c>
      <c r="C25" s="43">
        <f>('Financial Statements'!B45-'Financial Statements'!B64)/'Financial Statements'!B64</f>
        <v>2.0420557705522802</v>
      </c>
      <c r="D25" s="43">
        <f>('Financial Statements'!C45-'Financial Statements'!C64)/'Financial Statements'!C64</f>
        <v>2.1680737864875415</v>
      </c>
    </row>
    <row r="26" spans="1:4" x14ac:dyDescent="0.35">
      <c r="A26" s="17">
        <f t="shared" ref="A26:A30" si="1">+A25+0.1</f>
        <v>3.2</v>
      </c>
      <c r="B26" s="1" t="s">
        <v>33</v>
      </c>
      <c r="C26" s="43">
        <f>('Financial Statements'!B45-'Financial Statements'!B64)/'Financial Statements'!B45</f>
        <v>0.67127492872412009</v>
      </c>
      <c r="D26" s="43">
        <f>('Financial Statements'!C45-'Financial Statements'!C64)/'Financial Statements'!C45</f>
        <v>0.68435078618900957</v>
      </c>
    </row>
    <row r="27" spans="1:4" x14ac:dyDescent="0.35">
      <c r="A27" s="17">
        <f t="shared" si="1"/>
        <v>3.3000000000000003</v>
      </c>
      <c r="B27" s="1" t="s">
        <v>34</v>
      </c>
      <c r="C27" s="43">
        <f>'Financial Statements'!B53/('Financial Statements'!B53+'Financial Statements'!B64)</f>
        <v>0.26067843562990334</v>
      </c>
      <c r="D27" s="43">
        <f>'Financial Statements'!C53/('Financial Statements'!C53+'Financial Statements'!C64)</f>
        <v>0.31497281805687805</v>
      </c>
    </row>
    <row r="28" spans="1:4" x14ac:dyDescent="0.35">
      <c r="A28" s="17">
        <f t="shared" si="1"/>
        <v>3.4000000000000004</v>
      </c>
      <c r="B28" s="1" t="s">
        <v>35</v>
      </c>
      <c r="C28" s="43">
        <f>C21/(-'Financial Statements'!B19)</f>
        <v>13.752902155887231</v>
      </c>
      <c r="D28" s="43">
        <f>D21/(-'Financial Statements'!C19)</f>
        <v>5.1744824672581329</v>
      </c>
    </row>
    <row r="29" spans="1:4" x14ac:dyDescent="0.35">
      <c r="A29" s="17">
        <f t="shared" si="1"/>
        <v>3.5000000000000004</v>
      </c>
      <c r="B29" s="1" t="s">
        <v>36</v>
      </c>
      <c r="C29" s="43">
        <f>'Financial Statements'!B90/('Financial Statements'!B55+'Financial Statements'!B51)</f>
        <v>0.16410323622761278</v>
      </c>
      <c r="D29" s="43">
        <f>'Financial Statements'!C90/('Financial Statements'!C55+'Financial Statements'!C51)</f>
        <v>0.14765405897066627</v>
      </c>
    </row>
    <row r="30" spans="1:4" x14ac:dyDescent="0.35">
      <c r="A30" s="17">
        <f t="shared" si="1"/>
        <v>3.6000000000000005</v>
      </c>
      <c r="B30" s="1" t="s">
        <v>37</v>
      </c>
      <c r="C30" s="43">
        <f>C31/10242</f>
        <v>25.808045303651632</v>
      </c>
      <c r="D30" s="43">
        <f>D31/10242</f>
        <v>27.348271821909783</v>
      </c>
    </row>
    <row r="31" spans="1:4" x14ac:dyDescent="0.35">
      <c r="A31" s="17"/>
      <c r="B31" s="14" t="s">
        <v>38</v>
      </c>
      <c r="C31" s="43">
        <f>'Financial Statements'!B25+'Financial Statements'!B80-'List of Ratios'!C14-'Financial Statements'!B92+('Financial Statements'!B53+'Financial Statements'!B51 -'Financial Statements'!B36)</f>
        <v>264326</v>
      </c>
      <c r="D31" s="43">
        <f>'Financial Statements'!C25+'Financial Statements'!C80-'List of Ratios'!D14-'Financial Statements'!C92+('Financial Statements'!C53+'Financial Statements'!C51 -'Financial Statements'!C36)</f>
        <v>280101</v>
      </c>
    </row>
    <row r="32" spans="1:4" x14ac:dyDescent="0.35">
      <c r="A32" s="17"/>
      <c r="C32" s="43"/>
      <c r="D32" s="43"/>
    </row>
    <row r="33" spans="1:8" x14ac:dyDescent="0.35">
      <c r="A33" s="17">
        <f>+A24+1</f>
        <v>4</v>
      </c>
      <c r="B33" s="18" t="s">
        <v>39</v>
      </c>
      <c r="C33" s="43"/>
      <c r="D33" s="43"/>
    </row>
    <row r="34" spans="1:8" x14ac:dyDescent="0.35">
      <c r="A34" s="17">
        <f>+A33+0.1</f>
        <v>4.0999999999999996</v>
      </c>
      <c r="B34" s="1" t="s">
        <v>40</v>
      </c>
      <c r="C34" s="43">
        <f>'Financial Statements'!B7/'Financial Statements'!B45</f>
        <v>1.1171635172120253</v>
      </c>
      <c r="D34" s="43">
        <f>'Financial Statements'!C7/'Financial Statements'!C45</f>
        <v>1.1108942562273734</v>
      </c>
    </row>
    <row r="35" spans="1:8" x14ac:dyDescent="0.35">
      <c r="A35" s="17">
        <f t="shared" ref="A35:A37" si="2">+A34+0.1</f>
        <v>4.1999999999999993</v>
      </c>
      <c r="B35" s="1" t="s">
        <v>41</v>
      </c>
      <c r="C35" s="43">
        <f>'Financial Statements'!B7/SUM('Financial Statements'!B41:B44)</f>
        <v>1.8142016998173527</v>
      </c>
      <c r="D35" s="43">
        <f>'Financial Statements'!C7/SUM('Financial Statements'!C41:C44)</f>
        <v>1.6271257803497488</v>
      </c>
    </row>
    <row r="36" spans="1:8" x14ac:dyDescent="0.35">
      <c r="A36" s="17">
        <f t="shared" si="2"/>
        <v>4.2999999999999989</v>
      </c>
      <c r="B36" s="1" t="s">
        <v>42</v>
      </c>
      <c r="C36" s="43">
        <f>'Financial Statements'!B8/'Financial Statements'!B38</f>
        <v>8.3438725490196077</v>
      </c>
      <c r="D36" s="43">
        <f>'Financial Statements'!C8/'Financial Statements'!C38</f>
        <v>8.3950297921813686</v>
      </c>
    </row>
    <row r="37" spans="1:8" x14ac:dyDescent="0.35">
      <c r="A37" s="17">
        <f t="shared" si="2"/>
        <v>4.3999999999999986</v>
      </c>
      <c r="B37" s="1" t="s">
        <v>43</v>
      </c>
      <c r="C37" s="43">
        <f>('Financial Statements'!B25/'Financial Statements'!B45)*100</f>
        <v>7.9334393851846041</v>
      </c>
      <c r="D37" s="43">
        <f>('Financial Statements'!C25/'Financial Statements'!C45)*100</f>
        <v>-0.58831793375479546</v>
      </c>
    </row>
    <row r="38" spans="1:8" x14ac:dyDescent="0.35">
      <c r="A38" s="17"/>
      <c r="C38" s="43"/>
      <c r="D38" s="43"/>
    </row>
    <row r="39" spans="1:8" x14ac:dyDescent="0.35">
      <c r="A39" s="17">
        <f>+A33+1</f>
        <v>5</v>
      </c>
      <c r="B39" s="18" t="s">
        <v>44</v>
      </c>
      <c r="C39" s="43"/>
      <c r="D39" s="43"/>
    </row>
    <row r="40" spans="1:8" x14ac:dyDescent="0.35">
      <c r="A40" s="17">
        <f>+A39+0.1</f>
        <v>5.0999999999999996</v>
      </c>
      <c r="B40" s="1" t="s">
        <v>45</v>
      </c>
      <c r="C40" s="42">
        <f>163.025/'Financial Statements'!B64</f>
        <v>1.179246989041195E-3</v>
      </c>
      <c r="D40" s="42">
        <f>163.025/'Financial Statements'!C64</f>
        <v>1.116280821401916E-3</v>
      </c>
    </row>
    <row r="41" spans="1:8" x14ac:dyDescent="0.35">
      <c r="A41" s="17">
        <f t="shared" ref="A41:A44" si="3">+A40+0.1</f>
        <v>5.1999999999999993</v>
      </c>
      <c r="B41" s="14" t="s">
        <v>46</v>
      </c>
      <c r="C41" s="43">
        <f>'Financial Statements'!B25/10242</f>
        <v>3.2575668814684633</v>
      </c>
      <c r="D41" s="43">
        <f>'Financial Statements'!C25/10242</f>
        <v>-0.2657684046084749</v>
      </c>
    </row>
    <row r="42" spans="1:8" x14ac:dyDescent="0.35">
      <c r="A42" s="17">
        <f t="shared" si="3"/>
        <v>5.2999999999999989</v>
      </c>
      <c r="B42" s="1" t="s">
        <v>47</v>
      </c>
      <c r="C42" s="43">
        <f>163.025/C43</f>
        <v>12.07784766175992</v>
      </c>
      <c r="D42" s="43">
        <f>163.025/D43</f>
        <v>11.432948172798422</v>
      </c>
    </row>
    <row r="43" spans="1:8" x14ac:dyDescent="0.35">
      <c r="A43" s="17">
        <f t="shared" si="3"/>
        <v>5.3999999999999986</v>
      </c>
      <c r="B43" s="14" t="s">
        <v>48</v>
      </c>
      <c r="C43" s="43">
        <f>'Financial Statements'!B64/10242</f>
        <v>13.497851982034758</v>
      </c>
      <c r="D43" s="43">
        <f>'Financial Statements'!C64/10242</f>
        <v>14.259226713532513</v>
      </c>
    </row>
    <row r="44" spans="1:8" x14ac:dyDescent="0.35">
      <c r="A44" s="17">
        <f t="shared" si="3"/>
        <v>5.4999999999999982</v>
      </c>
      <c r="B44" s="44" t="s">
        <v>49</v>
      </c>
      <c r="C44" s="45">
        <v>0</v>
      </c>
      <c r="D44" s="45">
        <v>0</v>
      </c>
    </row>
    <row r="45" spans="1:8" x14ac:dyDescent="0.35">
      <c r="A45" s="17"/>
      <c r="B45" s="46" t="s">
        <v>50</v>
      </c>
      <c r="C45" s="45">
        <v>0</v>
      </c>
      <c r="D45" s="45">
        <v>0</v>
      </c>
    </row>
    <row r="46" spans="1:8" x14ac:dyDescent="0.35">
      <c r="A46" s="17">
        <f>+A44+0.1</f>
        <v>5.5999999999999979</v>
      </c>
      <c r="B46" s="44" t="s">
        <v>51</v>
      </c>
      <c r="C46" s="45">
        <v>0</v>
      </c>
      <c r="D46" s="45">
        <v>0</v>
      </c>
      <c r="H46" s="12"/>
    </row>
    <row r="47" spans="1:8" x14ac:dyDescent="0.35">
      <c r="A47" s="17">
        <f t="shared" ref="A47:A50" si="4">+A45+0.1</f>
        <v>0.1</v>
      </c>
      <c r="B47" s="1" t="s">
        <v>52</v>
      </c>
      <c r="C47" s="43">
        <f>'Financial Statements'!B25/'Financial Statements'!B64</f>
        <v>0.2413396506202756</v>
      </c>
      <c r="D47" s="43">
        <f>'Financial Statements'!C25/'Financial Statements'!C64</f>
        <v>-1.8638346240490815E-2</v>
      </c>
    </row>
    <row r="48" spans="1:8" x14ac:dyDescent="0.35">
      <c r="A48" s="17">
        <f t="shared" si="4"/>
        <v>5.6999999999999975</v>
      </c>
      <c r="B48" s="1" t="s">
        <v>53</v>
      </c>
      <c r="C48" s="43">
        <f>'Financial Statements'!B17/('Financial Statements'!B45-('Financial Statements'!B65-'Financial Statements'!B64))</f>
        <v>0.17996310897319975</v>
      </c>
      <c r="D48" s="43">
        <f>'Financial Statements'!C17/('Financial Statements'!C45-('Financial Statements'!C65-'Financial Statements'!C64))</f>
        <v>8.3865710783810249E-2</v>
      </c>
    </row>
    <row r="49" spans="1:4" x14ac:dyDescent="0.35">
      <c r="A49" s="17">
        <f t="shared" si="4"/>
        <v>0.2</v>
      </c>
      <c r="B49" s="1" t="s">
        <v>43</v>
      </c>
      <c r="C49" s="43">
        <f>C37</f>
        <v>7.9334393851846041</v>
      </c>
      <c r="D49" s="43">
        <f>D37</f>
        <v>-0.58831793375479546</v>
      </c>
    </row>
    <row r="50" spans="1:4" x14ac:dyDescent="0.35">
      <c r="A50" s="17">
        <f t="shared" si="4"/>
        <v>5.7999999999999972</v>
      </c>
      <c r="B50" s="1" t="s">
        <v>54</v>
      </c>
      <c r="C50" s="43">
        <f>C51/C19</f>
        <v>31.782102272727272</v>
      </c>
      <c r="D50" s="43">
        <f>D51/D19</f>
        <v>35.107165537484541</v>
      </c>
    </row>
    <row r="51" spans="1:4" x14ac:dyDescent="0.35">
      <c r="A51" s="17"/>
      <c r="B51" s="14" t="s">
        <v>55</v>
      </c>
      <c r="C51" s="43">
        <f>$C$52+('Financial Statements'!B65-'Financial Statements'!B64)-'Financial Statements'!B36</f>
        <v>1885060.05</v>
      </c>
      <c r="D51" s="43">
        <f>$C$52+('Financial Statements'!C65-'Financial Statements'!C64)-'Financial Statements'!C36</f>
        <v>1901720.05</v>
      </c>
    </row>
    <row r="52" spans="1:4" x14ac:dyDescent="0.35">
      <c r="B52" s="1" t="s">
        <v>151</v>
      </c>
      <c r="C52">
        <f>160.025*10242</f>
        <v>1638976.05</v>
      </c>
    </row>
  </sheetData>
  <mergeCells count="1">
    <mergeCell ref="C2:E2"/>
  </mergeCells>
  <pageMargins left="0.7" right="0.7" top="0.75" bottom="0.75" header="0.3" footer="0.3"/>
  <ignoredErrors>
    <ignoredError sqref="C19:D1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Financial Statements</vt:lpstr>
      <vt:lpstr>List of Ratios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crsytabel odede</cp:lastModifiedBy>
  <dcterms:created xsi:type="dcterms:W3CDTF">2020-05-19T16:15:53Z</dcterms:created>
  <dcterms:modified xsi:type="dcterms:W3CDTF">2024-07-30T17:23:28Z</dcterms:modified>
</cp:coreProperties>
</file>