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d.docs.live.net/83639a9f30c8a13b/Documents/"/>
    </mc:Choice>
  </mc:AlternateContent>
  <xr:revisionPtr revIDLastSave="0" documentId="14_{00B794E1-6A74-4282-9809-037F4523AE2C}" xr6:coauthVersionLast="47" xr6:coauthVersionMax="47" xr10:uidLastSave="{00000000-0000-0000-0000-000000000000}"/>
  <bookViews>
    <workbookView xWindow="-98" yWindow="-98" windowWidth="19396" windowHeight="11475" activeTab="2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1" i="3" l="1"/>
  <c r="E81" i="3"/>
  <c r="C81" i="3"/>
  <c r="D80" i="3"/>
  <c r="E80" i="3"/>
  <c r="C80" i="3"/>
  <c r="D79" i="3"/>
  <c r="E79" i="3"/>
  <c r="C79" i="3"/>
  <c r="D76" i="3"/>
  <c r="E76" i="3"/>
  <c r="C76" i="3"/>
  <c r="D75" i="3"/>
  <c r="E75" i="3"/>
  <c r="C75" i="3"/>
  <c r="D74" i="3"/>
  <c r="E74" i="3"/>
  <c r="C74" i="3"/>
  <c r="D73" i="3"/>
  <c r="E73" i="3"/>
  <c r="C73" i="3"/>
  <c r="D72" i="3"/>
  <c r="E72" i="3"/>
  <c r="C72" i="3"/>
  <c r="D71" i="3"/>
  <c r="E71" i="3"/>
  <c r="C71" i="3"/>
  <c r="D68" i="3"/>
  <c r="E68" i="3"/>
  <c r="C68" i="3"/>
  <c r="D67" i="3"/>
  <c r="E67" i="3"/>
  <c r="C67" i="3"/>
  <c r="B48" i="1"/>
  <c r="C66" i="3"/>
  <c r="D66" i="3"/>
  <c r="E66" i="3"/>
  <c r="D63" i="3"/>
  <c r="E63" i="3"/>
  <c r="C63" i="3"/>
  <c r="D62" i="3"/>
  <c r="E62" i="3"/>
  <c r="C62" i="3"/>
  <c r="D60" i="3"/>
  <c r="C60" i="3"/>
  <c r="D59" i="3"/>
  <c r="E59" i="3"/>
  <c r="C59" i="3"/>
  <c r="C57" i="3"/>
  <c r="B8" i="1"/>
  <c r="C56" i="3"/>
  <c r="D8" i="3"/>
  <c r="E8" i="3"/>
  <c r="D9" i="3"/>
  <c r="E9" i="3"/>
  <c r="C8" i="3"/>
  <c r="D7" i="3"/>
  <c r="E7" i="3"/>
  <c r="C6" i="3"/>
  <c r="D5" i="3"/>
  <c r="E5" i="3"/>
  <c r="C5" i="3"/>
  <c r="D51" i="3"/>
  <c r="E51" i="3"/>
  <c r="D49" i="3"/>
  <c r="E49" i="3"/>
  <c r="D48" i="3"/>
  <c r="E48" i="3"/>
  <c r="D47" i="3"/>
  <c r="E47" i="3"/>
  <c r="D46" i="3"/>
  <c r="E46" i="3"/>
  <c r="C46" i="3"/>
  <c r="D45" i="3"/>
  <c r="E45" i="3"/>
  <c r="C45" i="3"/>
  <c r="D44" i="3"/>
  <c r="E44" i="3"/>
  <c r="D43" i="3"/>
  <c r="E43" i="3"/>
  <c r="C43" i="3"/>
  <c r="D42" i="3"/>
  <c r="E42" i="3"/>
  <c r="C42" i="3"/>
  <c r="D41" i="3"/>
  <c r="E41" i="3"/>
  <c r="D40" i="3"/>
  <c r="E40" i="3"/>
  <c r="C40" i="3"/>
  <c r="D37" i="3"/>
  <c r="E37" i="3"/>
  <c r="A28" i="3" a="1"/>
  <c r="A28" i="3" s="1"/>
  <c r="D35" i="3"/>
  <c r="E35" i="3"/>
  <c r="D34" i="3"/>
  <c r="E34" i="3"/>
  <c r="D30" i="3"/>
  <c r="E30" i="3"/>
  <c r="D22" i="1"/>
  <c r="D29" i="3"/>
  <c r="E29" i="3"/>
  <c r="D28" i="3"/>
  <c r="E28" i="3"/>
  <c r="D27" i="3"/>
  <c r="E27" i="3"/>
  <c r="D26" i="3"/>
  <c r="E26" i="3"/>
  <c r="D25" i="3"/>
  <c r="E25" i="3"/>
  <c r="C25" i="3"/>
  <c r="D22" i="3"/>
  <c r="E22" i="3"/>
  <c r="D21" i="3"/>
  <c r="E21" i="3"/>
  <c r="D20" i="3"/>
  <c r="E20" i="3"/>
  <c r="E19" i="3"/>
  <c r="D18" i="3"/>
  <c r="D19" i="3" s="1"/>
  <c r="E18" i="3"/>
  <c r="C35" i="3" l="1"/>
  <c r="C21" i="3"/>
  <c r="C26" i="3"/>
  <c r="C27" i="3"/>
  <c r="C34" i="3"/>
  <c r="D14" i="3" l="1"/>
  <c r="E14" i="3"/>
  <c r="C14" i="3"/>
  <c r="D17" i="3"/>
  <c r="E17" i="3"/>
  <c r="D10" i="3"/>
  <c r="E10" i="3"/>
  <c r="C10" i="3"/>
  <c r="D11" i="3"/>
  <c r="E11" i="3"/>
  <c r="C11" i="3"/>
  <c r="C12" i="3" s="1"/>
  <c r="E36" i="3"/>
  <c r="D36" i="3"/>
  <c r="C9" i="3"/>
  <c r="C36" i="3" s="1"/>
  <c r="D12" i="3" l="1"/>
  <c r="E12" i="3"/>
  <c r="C7" i="3"/>
  <c r="E6" i="3"/>
  <c r="D6" i="3"/>
  <c r="D108" i="1"/>
  <c r="C108" i="1"/>
  <c r="B108" i="1"/>
  <c r="D99" i="1"/>
  <c r="B99" i="1"/>
  <c r="D68" i="1" l="1"/>
  <c r="C68" i="1"/>
  <c r="B68" i="1"/>
  <c r="D61" i="1"/>
  <c r="C61" i="1"/>
  <c r="B61" i="1"/>
  <c r="D56" i="1"/>
  <c r="C56" i="1"/>
  <c r="C62" i="1" s="1"/>
  <c r="B56" i="1"/>
  <c r="B62" i="1" s="1"/>
  <c r="D47" i="1"/>
  <c r="C47" i="1"/>
  <c r="B47" i="1"/>
  <c r="D42" i="1"/>
  <c r="C42" i="1"/>
  <c r="B42" i="1"/>
  <c r="D17" i="1"/>
  <c r="C17" i="1"/>
  <c r="B17" i="1"/>
  <c r="D13" i="1"/>
  <c r="D18" i="1" s="1"/>
  <c r="D20" i="1" s="1"/>
  <c r="D76" i="1" s="1"/>
  <c r="D91" i="1" s="1"/>
  <c r="D109" i="1" s="1"/>
  <c r="D12" i="1"/>
  <c r="C12" i="1"/>
  <c r="B12" i="1"/>
  <c r="D8" i="1"/>
  <c r="C8" i="1"/>
  <c r="B13" i="1"/>
  <c r="C17" i="3" s="1"/>
  <c r="E3" i="3"/>
  <c r="D3" i="3"/>
  <c r="C3" i="3"/>
  <c r="D33" i="1"/>
  <c r="D73" i="1" s="1"/>
  <c r="C33" i="1"/>
  <c r="C73" i="1" s="1"/>
  <c r="B33" i="1"/>
  <c r="B73" i="1" s="1"/>
  <c r="C13" i="1" l="1"/>
  <c r="C18" i="1" s="1"/>
  <c r="C20" i="1" s="1"/>
  <c r="C22" i="1" s="1"/>
  <c r="C76" i="1" s="1"/>
  <c r="C91" i="1" s="1"/>
  <c r="C109" i="1" s="1"/>
  <c r="B18" i="1"/>
  <c r="C48" i="1"/>
  <c r="D62" i="1"/>
  <c r="D69" i="1" s="1"/>
  <c r="C69" i="1"/>
  <c r="D48" i="1"/>
  <c r="B69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B20" i="1" l="1"/>
  <c r="C48" i="3"/>
  <c r="C28" i="3"/>
  <c r="C20" i="3"/>
  <c r="C18" i="3"/>
  <c r="C19" i="3" s="1"/>
  <c r="B22" i="1"/>
  <c r="A24" i="3"/>
  <c r="A25" i="3" s="1"/>
  <c r="A26" i="3" s="1"/>
  <c r="A27" i="3" s="1"/>
  <c r="A29" i="3" s="1"/>
  <c r="A30" i="3" s="1"/>
  <c r="A33" i="3"/>
  <c r="C41" i="3" l="1"/>
  <c r="C47" i="3"/>
  <c r="C44" i="3"/>
  <c r="C51" i="3"/>
  <c r="C49" i="3"/>
  <c r="C30" i="3"/>
  <c r="C37" i="3"/>
  <c r="C22" i="3"/>
  <c r="C29" i="3"/>
  <c r="B76" i="1"/>
  <c r="B91" i="1" s="1"/>
  <c r="B109" i="1" s="1"/>
  <c r="A39" i="3"/>
  <c r="A40" i="3" s="1"/>
  <c r="A41" i="3" s="1"/>
  <c r="A42" i="3" s="1"/>
  <c r="A43" i="3" s="1"/>
  <c r="A44" i="3" s="1"/>
  <c r="A46" i="3" s="1"/>
  <c r="A48" i="3" s="1"/>
  <c r="A50" i="3" s="1"/>
  <c r="A34" i="3"/>
  <c r="A35" i="3" s="1"/>
  <c r="A36" i="3" s="1"/>
  <c r="A37" i="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<sst xmlns="http://schemas.openxmlformats.org/spreadsheetml/2006/main" count="196" uniqueCount="165">
  <si>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</si>
  <si>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</si>
  <si>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</si>
  <si>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</si>
  <si>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</si>
  <si>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</si>
  <si>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</si>
  <si>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</si>
  <si>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</si>
  <si>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</si>
  <si>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</si>
  <si>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</si>
  <si>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</si>
  <si>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</si>
  <si>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</si>
  <si>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</si>
  <si>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</si>
  <si>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</si>
  <si>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</si>
  <si>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</si>
  <si>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</si>
  <si>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</si>
  <si>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</si>
  <si>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</si>
  <si>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</si>
  <si>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</si>
  <si>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</si>
  <si>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</si>
  <si>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</si>
  <si>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</si>
  <si>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</si>
  <si>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</si>
  <si>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</si>
  <si>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</si>
  <si>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</si>
  <si>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</si>
  <si>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</si>
  <si>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</si>
  <si>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</si>
  <si>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</si>
  <si>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</si>
  <si>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</si>
  <si>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</si>
  <si>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</si>
  <si>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</si>
  <si>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</si>
  <si>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</si>
  <si>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</si>
  <si>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</si>
  <si>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</si>
  <si>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</si>
  <si>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</si>
  <si>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</si>
  <si>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</si>
  <si>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</si>
  <si>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</si>
  <si>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</si>
  <si>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</si>
  <si>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</si>
  <si>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</si>
  <si>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</si>
  <si>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</si>
  <si>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</si>
  <si>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</si>
  <si>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</si>
  <si>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</si>
  <si>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</si>
  <si>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</si>
  <si>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</si>
  <si>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</si>
  <si>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</si>
  <si>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</si>
  <si>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</si>
  <si>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</si>
  <si>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</si>
  <si>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</si>
  <si>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</si>
  <si>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</si>
  <si>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</si>
  <si>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</si>
  <si>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</si>
  <si>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</si>
  <si>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</si>
  <si>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</si>
  <si>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</si>
  <si>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</si>
  <si>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</si>
  <si>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</si>
  <si>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</si>
  <si>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</si>
  <si>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</si>
  <si>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</si>
  <si>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</si>
  <si>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</si>
  <si>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</si>
  <si>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</si>
  <si>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</si>
  <si>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</si>
  <si>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</si>
  <si>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</si>
  <si>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</si>
  <si>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</si>
  <si>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</si>
  <si>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</si>
  <si>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</si>
  <si>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</si>
  <si>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</si>
  <si>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</si>
  <si>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</si>
  <si>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</si>
  <si>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</si>
  <si>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</si>
  <si>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</si>
  <si>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</si>
  <si>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</si>
  <si>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</si>
  <si>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</si>
  <si>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</si>
  <si>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</si>
  <si>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</si>
  <si>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</si>
  <si>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</si>
  <si>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</si>
  <si>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</si>
  <si>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</si>
  <si>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</si>
  <si>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</si>
  <si>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</si>
  <si>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</si>
  <si>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</si>
  <si>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</si>
  <si>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</si>
  <si>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</si>
  <si>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</si>
  <si>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</si>
  <si>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</si>
  <si>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</si>
  <si>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</si>
  <si>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</si>
  <si>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</si>
  <si>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</si>
  <si>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</si>
  <si>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</si>
  <si>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</si>
  <si>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</si>
  <si>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</si>
  <si>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</si>
  <si>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Operating Income</t>
  </si>
  <si>
    <t>EBITDA Margin</t>
  </si>
  <si>
    <t>Growth Rate Sales</t>
  </si>
  <si>
    <t>2020-2021</t>
  </si>
  <si>
    <t>2021 -2022</t>
  </si>
  <si>
    <t>Gross Profit (Cost of goods sold - Net sales)</t>
  </si>
  <si>
    <t>Gross profit Growth rate.</t>
  </si>
  <si>
    <t xml:space="preserve">Operating Expenses : </t>
  </si>
  <si>
    <t xml:space="preserve">Research and development </t>
  </si>
  <si>
    <t>Total Assets</t>
  </si>
  <si>
    <t xml:space="preserve">Total Liabilities </t>
  </si>
  <si>
    <t xml:space="preserve">Equity </t>
  </si>
  <si>
    <t xml:space="preserve">Margin as a percentage of net sales </t>
  </si>
  <si>
    <t>Cost of Goods sold (COGS)</t>
  </si>
  <si>
    <t xml:space="preserve">Gross profit </t>
  </si>
  <si>
    <t xml:space="preserve">Selling, general and adminstrative </t>
  </si>
  <si>
    <t>Each operating expenses: Research &amp; Development</t>
  </si>
  <si>
    <t xml:space="preserve">Net profit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</si>
</sst>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0.0"/>
    <numFmt numFmtId="169" formatCode="0.00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165" fontId="0" fillId="0" borderId="0" xfId="0" applyNumberFormat="1"/>
    <xf numFmtId="169" fontId="0" fillId="0" borderId="0" xfId="0" applyNumberForma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workbookViewId="0">
      <selection activeCell="A32" sqref="A32"/>
    </sheetView>
  </sheetViews>
  <sheetFormatPr defaultRowHeight="14.25" x14ac:dyDescent="0.45"/>
  <cols>
    <col min="1" max="1" width="104.53125" customWidth="1"/>
  </cols>
  <sheetData>
    <row r="1" spans="1:1" ht="23.25" x14ac:dyDescent="0.7">
      <c r="A1" s="5" t="s">
        <v>86</v>
      </c>
    </row>
    <row r="3" spans="1:1" x14ac:dyDescent="0.45">
      <c r="A3" s="7" t="s">
        <v>138</v>
      </c>
    </row>
    <row r="4" spans="1:1" x14ac:dyDescent="0.45">
      <c r="A4" s="16" t="s">
        <v>87</v>
      </c>
    </row>
    <row r="5" spans="1:1" x14ac:dyDescent="0.45">
      <c r="A5" s="7" t="s">
        <v>96</v>
      </c>
    </row>
    <row r="6" spans="1:1" x14ac:dyDescent="0.45">
      <c r="A6" s="1" t="s">
        <v>145</v>
      </c>
    </row>
    <row r="7" spans="1:1" x14ac:dyDescent="0.45">
      <c r="A7" s="1"/>
    </row>
    <row r="8" spans="1:1" x14ac:dyDescent="0.45">
      <c r="A8" s="17" t="s">
        <v>146</v>
      </c>
    </row>
    <row r="9" spans="1:1" x14ac:dyDescent="0.45">
      <c r="A9" s="1" t="s">
        <v>142</v>
      </c>
    </row>
    <row r="10" spans="1:1" x14ac:dyDescent="0.45">
      <c r="A10" s="1" t="s">
        <v>88</v>
      </c>
    </row>
    <row r="11" spans="1:1" x14ac:dyDescent="0.45">
      <c r="A11" s="1" t="s">
        <v>89</v>
      </c>
    </row>
    <row r="12" spans="1:1" x14ac:dyDescent="0.45">
      <c r="A12" s="1" t="s">
        <v>90</v>
      </c>
    </row>
    <row r="13" spans="1:1" x14ac:dyDescent="0.45">
      <c r="A13" s="1"/>
    </row>
    <row r="14" spans="1:1" x14ac:dyDescent="0.45">
      <c r="A14" s="17" t="s">
        <v>91</v>
      </c>
    </row>
    <row r="15" spans="1:1" x14ac:dyDescent="0.45">
      <c r="A15" s="1" t="s">
        <v>143</v>
      </c>
    </row>
    <row r="16" spans="1:1" x14ac:dyDescent="0.45">
      <c r="A16" s="1" t="s">
        <v>88</v>
      </c>
    </row>
    <row r="17" spans="1:1" x14ac:dyDescent="0.45">
      <c r="A17" s="1" t="s">
        <v>89</v>
      </c>
    </row>
    <row r="18" spans="1:1" x14ac:dyDescent="0.45">
      <c r="A18" s="1" t="s">
        <v>14</v>
      </c>
    </row>
    <row r="19" spans="1:1" x14ac:dyDescent="0.45">
      <c r="A19" s="1" t="s">
        <v>92</v>
      </c>
    </row>
    <row r="20" spans="1:1" x14ac:dyDescent="0.45">
      <c r="A20" s="1"/>
    </row>
    <row r="21" spans="1:1" x14ac:dyDescent="0.45">
      <c r="A21" s="17" t="s">
        <v>97</v>
      </c>
    </row>
    <row r="22" spans="1:1" x14ac:dyDescent="0.45">
      <c r="A22" s="1" t="s">
        <v>93</v>
      </c>
    </row>
    <row r="23" spans="1:1" x14ac:dyDescent="0.45">
      <c r="A23" s="1" t="s">
        <v>94</v>
      </c>
    </row>
    <row r="24" spans="1:1" x14ac:dyDescent="0.45">
      <c r="A24" s="1" t="s">
        <v>95</v>
      </c>
    </row>
    <row r="25" spans="1:1" x14ac:dyDescent="0.45">
      <c r="A25" s="1"/>
    </row>
    <row r="26" spans="1:1" x14ac:dyDescent="0.45">
      <c r="A26" s="17" t="s">
        <v>141</v>
      </c>
    </row>
    <row r="27" spans="1:1" x14ac:dyDescent="0.45">
      <c r="A27" s="16" t="s">
        <v>140</v>
      </c>
    </row>
    <row r="29" spans="1:1" x14ac:dyDescent="0.45">
      <c r="A29" s="7" t="s">
        <v>144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topLeftCell="A144" workbookViewId="0">
      <selection activeCell="G33" sqref="G33"/>
    </sheetView>
  </sheetViews>
  <sheetFormatPr defaultRowHeight="14.25" x14ac:dyDescent="0.45"/>
  <cols>
    <col min="1" max="1" width="59" customWidth="1"/>
    <col min="2" max="3" width="11.53125" bestFit="1" customWidth="1"/>
    <col min="4" max="4" width="11.6640625" bestFit="1" customWidth="1"/>
  </cols>
  <sheetData>
    <row r="1" spans="1:10" ht="60" customHeight="1" x14ac:dyDescent="0.45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45">
      <c r="A2" s="24" t="s">
        <v>1</v>
      </c>
      <c r="B2" s="24"/>
      <c r="C2" s="24"/>
      <c r="D2" s="24"/>
    </row>
    <row r="3" spans="1:10" x14ac:dyDescent="0.45">
      <c r="B3" s="23" t="s">
        <v>22</v>
      </c>
      <c r="C3" s="23"/>
      <c r="D3" s="23"/>
    </row>
    <row r="4" spans="1:10" x14ac:dyDescent="0.45">
      <c r="B4" s="7">
        <v>2022</v>
      </c>
      <c r="C4" s="7">
        <v>2021</v>
      </c>
      <c r="D4" s="7">
        <v>2020</v>
      </c>
    </row>
    <row r="5" spans="1:10" x14ac:dyDescent="0.45">
      <c r="A5" t="s">
        <v>3</v>
      </c>
    </row>
    <row r="6" spans="1:10" x14ac:dyDescent="0.45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45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45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45">
      <c r="A9" t="s">
        <v>7</v>
      </c>
      <c r="B9" s="12"/>
      <c r="C9" s="12"/>
      <c r="D9" s="12"/>
    </row>
    <row r="10" spans="1:10" x14ac:dyDescent="0.45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45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45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45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x14ac:dyDescent="0.45">
      <c r="A14" t="s">
        <v>10</v>
      </c>
      <c r="B14" s="12"/>
      <c r="C14" s="12"/>
      <c r="D14" s="12"/>
    </row>
    <row r="15" spans="1:10" x14ac:dyDescent="0.45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45">
      <c r="A16" s="1" t="s">
        <v>12</v>
      </c>
      <c r="B16" s="12">
        <v>25094</v>
      </c>
      <c r="C16" s="12">
        <v>21973</v>
      </c>
      <c r="D16" s="12">
        <v>19916</v>
      </c>
    </row>
    <row r="17" spans="1:4" x14ac:dyDescent="0.45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4" s="7" customFormat="1" x14ac:dyDescent="0.45">
      <c r="A18" s="8" t="s">
        <v>147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4" x14ac:dyDescent="0.45">
      <c r="A19" t="s">
        <v>15</v>
      </c>
      <c r="B19" s="12">
        <v>-334</v>
      </c>
      <c r="C19" s="12">
        <v>258</v>
      </c>
      <c r="D19" s="12">
        <v>803</v>
      </c>
    </row>
    <row r="20" spans="1:4" x14ac:dyDescent="0.45">
      <c r="A20" t="s">
        <v>15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4" x14ac:dyDescent="0.45">
      <c r="A21" t="s">
        <v>16</v>
      </c>
      <c r="B21" s="12">
        <v>19300</v>
      </c>
      <c r="C21" s="12">
        <v>14527</v>
      </c>
      <c r="D21" s="12">
        <v>9680</v>
      </c>
    </row>
    <row r="22" spans="1:4" ht="14.65" thickBot="1" x14ac:dyDescent="0.5">
      <c r="A22" s="9" t="s">
        <v>17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4" ht="14.65" thickTop="1" x14ac:dyDescent="0.45">
      <c r="A23" t="s">
        <v>18</v>
      </c>
    </row>
    <row r="24" spans="1:4" x14ac:dyDescent="0.45">
      <c r="A24" s="1" t="s">
        <v>19</v>
      </c>
      <c r="B24" s="10">
        <v>6.15</v>
      </c>
      <c r="C24" s="10">
        <v>5.67</v>
      </c>
      <c r="D24" s="10">
        <v>3.31</v>
      </c>
    </row>
    <row r="25" spans="1:4" x14ac:dyDescent="0.45">
      <c r="A25" s="1" t="s">
        <v>20</v>
      </c>
      <c r="B25" s="10">
        <v>6.11</v>
      </c>
      <c r="C25" s="10">
        <v>5.61</v>
      </c>
      <c r="D25" s="10">
        <v>3.28</v>
      </c>
    </row>
    <row r="26" spans="1:4" x14ac:dyDescent="0.45">
      <c r="A26" t="s">
        <v>21</v>
      </c>
    </row>
    <row r="27" spans="1:4" x14ac:dyDescent="0.45">
      <c r="A27" s="1" t="s">
        <v>19</v>
      </c>
      <c r="B27" s="2">
        <v>16215963</v>
      </c>
      <c r="C27" s="2">
        <v>16701272</v>
      </c>
      <c r="D27" s="2">
        <v>17352119</v>
      </c>
    </row>
    <row r="28" spans="1:4" x14ac:dyDescent="0.45">
      <c r="A28" s="1" t="s">
        <v>20</v>
      </c>
      <c r="B28" s="2">
        <v>16325819</v>
      </c>
      <c r="C28" s="2">
        <v>16864919</v>
      </c>
      <c r="D28" s="2">
        <v>17528214</v>
      </c>
    </row>
    <row r="31" spans="1:4" x14ac:dyDescent="0.45">
      <c r="A31" s="24" t="s">
        <v>23</v>
      </c>
      <c r="B31" s="24"/>
      <c r="C31" s="24"/>
      <c r="D31" s="24"/>
    </row>
    <row r="32" spans="1:4" x14ac:dyDescent="0.45">
      <c r="B32" s="23" t="s">
        <v>139</v>
      </c>
      <c r="C32" s="23"/>
      <c r="D32" s="23"/>
    </row>
    <row r="33" spans="1:7" x14ac:dyDescent="0.45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7" x14ac:dyDescent="0.45">
      <c r="A35" t="s">
        <v>24</v>
      </c>
    </row>
    <row r="36" spans="1:7" x14ac:dyDescent="0.45">
      <c r="A36" s="1" t="s">
        <v>25</v>
      </c>
      <c r="B36" s="12">
        <v>23646</v>
      </c>
      <c r="C36" s="12">
        <v>34940</v>
      </c>
      <c r="D36" s="12">
        <v>38016</v>
      </c>
    </row>
    <row r="37" spans="1:7" x14ac:dyDescent="0.45">
      <c r="A37" s="1" t="s">
        <v>26</v>
      </c>
      <c r="B37" s="12">
        <v>24658</v>
      </c>
      <c r="C37" s="12">
        <v>27699</v>
      </c>
      <c r="D37" s="12">
        <v>52927</v>
      </c>
    </row>
    <row r="38" spans="1:7" x14ac:dyDescent="0.45">
      <c r="A38" s="1" t="s">
        <v>27</v>
      </c>
      <c r="B38" s="12">
        <v>28184</v>
      </c>
      <c r="C38" s="12">
        <v>26278</v>
      </c>
      <c r="D38" s="12">
        <v>16120</v>
      </c>
    </row>
    <row r="39" spans="1:7" x14ac:dyDescent="0.45">
      <c r="A39" s="1" t="s">
        <v>28</v>
      </c>
      <c r="B39" s="12">
        <v>4946</v>
      </c>
      <c r="C39" s="12">
        <v>6580</v>
      </c>
      <c r="D39" s="12">
        <v>4061</v>
      </c>
      <c r="G39" s="25"/>
    </row>
    <row r="40" spans="1:7" x14ac:dyDescent="0.45">
      <c r="A40" s="1" t="s">
        <v>46</v>
      </c>
      <c r="B40" s="12">
        <v>32748</v>
      </c>
      <c r="C40" s="12">
        <v>25228</v>
      </c>
      <c r="D40" s="12">
        <v>21325</v>
      </c>
    </row>
    <row r="41" spans="1:7" x14ac:dyDescent="0.45">
      <c r="A41" s="1" t="s">
        <v>29</v>
      </c>
      <c r="B41" s="12">
        <v>21223</v>
      </c>
      <c r="C41" s="12">
        <v>14111</v>
      </c>
      <c r="D41" s="12">
        <v>11264</v>
      </c>
    </row>
    <row r="42" spans="1:7" x14ac:dyDescent="0.45">
      <c r="A42" s="8" t="s">
        <v>30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7" x14ac:dyDescent="0.45">
      <c r="A43" t="s">
        <v>47</v>
      </c>
      <c r="B43" s="12"/>
      <c r="C43" s="12"/>
      <c r="D43" s="12"/>
    </row>
    <row r="44" spans="1:7" x14ac:dyDescent="0.45">
      <c r="A44" s="1" t="s">
        <v>26</v>
      </c>
      <c r="B44" s="12">
        <v>120805</v>
      </c>
      <c r="C44" s="12">
        <v>127877</v>
      </c>
      <c r="D44" s="12">
        <v>100887</v>
      </c>
    </row>
    <row r="45" spans="1:7" x14ac:dyDescent="0.45">
      <c r="A45" s="1" t="s">
        <v>31</v>
      </c>
      <c r="B45" s="12">
        <v>42117</v>
      </c>
      <c r="C45" s="12">
        <v>39440</v>
      </c>
      <c r="D45" s="12">
        <v>36766</v>
      </c>
    </row>
    <row r="46" spans="1:7" x14ac:dyDescent="0.45">
      <c r="A46" s="1" t="s">
        <v>48</v>
      </c>
      <c r="B46" s="12">
        <v>54428</v>
      </c>
      <c r="C46" s="12">
        <v>48849</v>
      </c>
      <c r="D46" s="12">
        <v>42522</v>
      </c>
    </row>
    <row r="47" spans="1:7" x14ac:dyDescent="0.45">
      <c r="A47" s="8" t="s">
        <v>49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7" ht="14.65" thickBot="1" x14ac:dyDescent="0.5">
      <c r="A48" s="9" t="s">
        <v>32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</row>
    <row r="49" spans="1:4" ht="14.65" thickTop="1" x14ac:dyDescent="0.45"/>
    <row r="50" spans="1:4" x14ac:dyDescent="0.45">
      <c r="A50" t="s">
        <v>33</v>
      </c>
    </row>
    <row r="51" spans="1:4" x14ac:dyDescent="0.45">
      <c r="A51" s="1" t="s">
        <v>34</v>
      </c>
      <c r="B51" s="12">
        <v>64115</v>
      </c>
      <c r="C51" s="12">
        <v>54763</v>
      </c>
      <c r="D51" s="12">
        <v>42296</v>
      </c>
    </row>
    <row r="52" spans="1:4" x14ac:dyDescent="0.45">
      <c r="A52" s="1" t="s">
        <v>35</v>
      </c>
      <c r="B52" s="12">
        <v>60845</v>
      </c>
      <c r="C52" s="12">
        <v>47493</v>
      </c>
      <c r="D52" s="12">
        <v>42684</v>
      </c>
    </row>
    <row r="53" spans="1:4" x14ac:dyDescent="0.45">
      <c r="A53" s="1" t="s">
        <v>36</v>
      </c>
      <c r="B53" s="12">
        <v>7912</v>
      </c>
      <c r="C53" s="12">
        <v>7612</v>
      </c>
      <c r="D53" s="12">
        <v>6643</v>
      </c>
    </row>
    <row r="54" spans="1:4" x14ac:dyDescent="0.45">
      <c r="A54" s="1" t="s">
        <v>37</v>
      </c>
      <c r="B54" s="12">
        <v>9982</v>
      </c>
      <c r="C54" s="12">
        <v>6000</v>
      </c>
      <c r="D54" s="12">
        <v>4996</v>
      </c>
    </row>
    <row r="55" spans="1:4" x14ac:dyDescent="0.45">
      <c r="A55" s="1" t="s">
        <v>38</v>
      </c>
      <c r="B55" s="12">
        <v>11128</v>
      </c>
      <c r="C55" s="12">
        <v>9613</v>
      </c>
      <c r="D55" s="12">
        <v>8773</v>
      </c>
    </row>
    <row r="56" spans="1:4" x14ac:dyDescent="0.45">
      <c r="A56" s="8" t="s">
        <v>39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4" x14ac:dyDescent="0.45">
      <c r="A57" t="s">
        <v>50</v>
      </c>
      <c r="B57" s="12"/>
      <c r="C57" s="12"/>
      <c r="D57" s="12"/>
    </row>
    <row r="58" spans="1:4" x14ac:dyDescent="0.45">
      <c r="A58" s="1" t="s">
        <v>36</v>
      </c>
      <c r="B58" s="12"/>
      <c r="C58" s="12"/>
      <c r="D58" s="12"/>
    </row>
    <row r="59" spans="1:4" x14ac:dyDescent="0.45">
      <c r="A59" s="1" t="s">
        <v>38</v>
      </c>
      <c r="B59" s="12">
        <v>98959</v>
      </c>
      <c r="C59" s="12">
        <v>109106</v>
      </c>
      <c r="D59" s="12">
        <v>98667</v>
      </c>
    </row>
    <row r="60" spans="1:4" x14ac:dyDescent="0.45">
      <c r="A60" s="1" t="s">
        <v>51</v>
      </c>
      <c r="B60" s="12">
        <v>49142</v>
      </c>
      <c r="C60" s="12">
        <v>53325</v>
      </c>
      <c r="D60" s="12">
        <v>54490</v>
      </c>
    </row>
    <row r="61" spans="1:4" x14ac:dyDescent="0.45">
      <c r="A61" s="22" t="s">
        <v>52</v>
      </c>
      <c r="B61" s="21">
        <f>+B59+B60</f>
        <v>148101</v>
      </c>
      <c r="C61" s="21">
        <f t="shared" ref="C61:D61" si="13">+C59+C60</f>
        <v>162431</v>
      </c>
      <c r="D61" s="21">
        <f t="shared" si="13"/>
        <v>153157</v>
      </c>
    </row>
    <row r="62" spans="1:4" x14ac:dyDescent="0.45">
      <c r="A62" s="8" t="s">
        <v>40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4" x14ac:dyDescent="0.45">
      <c r="B63" s="12"/>
      <c r="C63" s="12"/>
      <c r="D63" s="12"/>
    </row>
    <row r="64" spans="1:4" x14ac:dyDescent="0.45">
      <c r="A64" t="s">
        <v>41</v>
      </c>
      <c r="B64" s="12"/>
      <c r="C64" s="12"/>
      <c r="D64" s="12"/>
    </row>
    <row r="65" spans="1:4" x14ac:dyDescent="0.45">
      <c r="A65" s="1" t="s">
        <v>53</v>
      </c>
      <c r="B65" s="12">
        <v>64849</v>
      </c>
      <c r="C65" s="12">
        <v>57365</v>
      </c>
      <c r="D65" s="12">
        <v>50779</v>
      </c>
    </row>
    <row r="66" spans="1:4" x14ac:dyDescent="0.45">
      <c r="A66" s="1" t="s">
        <v>42</v>
      </c>
      <c r="B66" s="12">
        <v>-3068</v>
      </c>
      <c r="C66" s="12">
        <v>5562</v>
      </c>
      <c r="D66" s="12">
        <v>14966</v>
      </c>
    </row>
    <row r="67" spans="1:4" x14ac:dyDescent="0.45">
      <c r="A67" s="1" t="s">
        <v>43</v>
      </c>
      <c r="B67" s="12">
        <v>-11109</v>
      </c>
      <c r="C67" s="12">
        <v>163</v>
      </c>
      <c r="D67" s="12">
        <v>-406</v>
      </c>
    </row>
    <row r="68" spans="1:4" x14ac:dyDescent="0.45">
      <c r="A68" s="8" t="s">
        <v>44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4" ht="14.65" thickBot="1" x14ac:dyDescent="0.5">
      <c r="A69" s="9" t="s">
        <v>45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4" ht="14.65" thickTop="1" x14ac:dyDescent="0.45"/>
    <row r="71" spans="1:4" x14ac:dyDescent="0.45">
      <c r="A71" s="24" t="s">
        <v>54</v>
      </c>
      <c r="B71" s="24"/>
      <c r="C71" s="24"/>
      <c r="D71" s="24"/>
    </row>
    <row r="72" spans="1:4" x14ac:dyDescent="0.45">
      <c r="B72" s="23" t="s">
        <v>22</v>
      </c>
      <c r="C72" s="23"/>
      <c r="D72" s="23"/>
    </row>
    <row r="73" spans="1:4" x14ac:dyDescent="0.45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4" x14ac:dyDescent="0.45">
      <c r="A75" s="7" t="s">
        <v>55</v>
      </c>
      <c r="B75" s="15"/>
      <c r="C75" s="15"/>
      <c r="D75" s="15"/>
    </row>
    <row r="76" spans="1:4" x14ac:dyDescent="0.45">
      <c r="A76" t="s">
        <v>56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4" x14ac:dyDescent="0.45">
      <c r="A77" s="11" t="s">
        <v>17</v>
      </c>
      <c r="B77" s="15"/>
      <c r="C77" s="15"/>
      <c r="D77" s="15"/>
    </row>
    <row r="78" spans="1:4" x14ac:dyDescent="0.45">
      <c r="A78" s="1" t="s">
        <v>57</v>
      </c>
      <c r="B78" s="12"/>
      <c r="C78" s="12"/>
      <c r="D78" s="12"/>
    </row>
    <row r="79" spans="1:4" x14ac:dyDescent="0.45">
      <c r="A79" s="3" t="s">
        <v>58</v>
      </c>
      <c r="B79" s="12">
        <v>11104</v>
      </c>
      <c r="C79" s="12">
        <v>11284</v>
      </c>
      <c r="D79" s="12">
        <v>11056</v>
      </c>
    </row>
    <row r="80" spans="1:4" x14ac:dyDescent="0.45">
      <c r="A80" s="3" t="s">
        <v>82</v>
      </c>
      <c r="B80" s="12">
        <v>9038</v>
      </c>
      <c r="C80" s="12">
        <v>7906</v>
      </c>
      <c r="D80" s="12">
        <v>6829</v>
      </c>
    </row>
    <row r="81" spans="1:4" x14ac:dyDescent="0.45">
      <c r="A81" s="3" t="s">
        <v>59</v>
      </c>
      <c r="B81" s="12">
        <v>895</v>
      </c>
      <c r="C81" s="12">
        <v>-4774</v>
      </c>
      <c r="D81" s="12">
        <v>-215</v>
      </c>
    </row>
    <row r="82" spans="1:4" x14ac:dyDescent="0.45">
      <c r="A82" s="3" t="s">
        <v>60</v>
      </c>
      <c r="B82" s="12">
        <v>111</v>
      </c>
      <c r="C82" s="12">
        <v>-147</v>
      </c>
      <c r="D82" s="12">
        <v>-97</v>
      </c>
    </row>
    <row r="83" spans="1:4" x14ac:dyDescent="0.45">
      <c r="A83" t="s">
        <v>61</v>
      </c>
      <c r="B83" s="12"/>
      <c r="C83" s="12"/>
      <c r="D83" s="12"/>
    </row>
    <row r="84" spans="1:4" x14ac:dyDescent="0.45">
      <c r="A84" s="1" t="s">
        <v>27</v>
      </c>
      <c r="B84" s="12">
        <v>-1823</v>
      </c>
      <c r="C84" s="12">
        <v>-10125</v>
      </c>
      <c r="D84" s="12">
        <v>6917</v>
      </c>
    </row>
    <row r="85" spans="1:4" x14ac:dyDescent="0.45">
      <c r="A85" s="1" t="s">
        <v>28</v>
      </c>
      <c r="B85" s="12">
        <v>1484</v>
      </c>
      <c r="C85" s="12">
        <v>-2642</v>
      </c>
      <c r="D85" s="12">
        <v>-127</v>
      </c>
    </row>
    <row r="86" spans="1:4" x14ac:dyDescent="0.45">
      <c r="A86" s="1" t="s">
        <v>46</v>
      </c>
      <c r="B86" s="12">
        <v>-7520</v>
      </c>
      <c r="C86" s="12">
        <v>-3903</v>
      </c>
      <c r="D86" s="12">
        <v>1553</v>
      </c>
    </row>
    <row r="87" spans="1:4" x14ac:dyDescent="0.45">
      <c r="A87" s="1" t="s">
        <v>83</v>
      </c>
      <c r="B87" s="12">
        <v>-6499</v>
      </c>
      <c r="C87" s="12">
        <v>-8042</v>
      </c>
      <c r="D87" s="12">
        <v>-9588</v>
      </c>
    </row>
    <row r="88" spans="1:4" x14ac:dyDescent="0.45">
      <c r="A88" s="1" t="s">
        <v>34</v>
      </c>
      <c r="B88" s="12">
        <v>9448</v>
      </c>
      <c r="C88" s="12">
        <v>12326</v>
      </c>
      <c r="D88" s="12">
        <v>-4062</v>
      </c>
    </row>
    <row r="89" spans="1:4" x14ac:dyDescent="0.45">
      <c r="A89" s="1" t="s">
        <v>36</v>
      </c>
      <c r="B89" s="12">
        <v>478</v>
      </c>
      <c r="C89" s="12">
        <v>1676</v>
      </c>
      <c r="D89" s="12">
        <v>2081</v>
      </c>
    </row>
    <row r="90" spans="1:4" x14ac:dyDescent="0.45">
      <c r="A90" s="1" t="s">
        <v>84</v>
      </c>
      <c r="B90" s="12">
        <v>5632</v>
      </c>
      <c r="C90" s="12">
        <v>5799</v>
      </c>
      <c r="D90" s="12">
        <v>8916</v>
      </c>
    </row>
    <row r="91" spans="1:4" x14ac:dyDescent="0.45">
      <c r="A91" s="8" t="s">
        <v>62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4" x14ac:dyDescent="0.45">
      <c r="A92" s="7" t="s">
        <v>63</v>
      </c>
      <c r="B92" s="12"/>
      <c r="C92" s="12"/>
      <c r="D92" s="12"/>
    </row>
    <row r="93" spans="1:4" x14ac:dyDescent="0.45">
      <c r="A93" s="1" t="s">
        <v>64</v>
      </c>
      <c r="B93" s="12">
        <v>-76923</v>
      </c>
      <c r="C93" s="12">
        <v>-109558</v>
      </c>
      <c r="D93" s="12">
        <v>-114938</v>
      </c>
    </row>
    <row r="94" spans="1:4" x14ac:dyDescent="0.45">
      <c r="A94" s="1" t="s">
        <v>65</v>
      </c>
      <c r="B94" s="12">
        <v>29917</v>
      </c>
      <c r="C94" s="12">
        <v>59023</v>
      </c>
      <c r="D94" s="12">
        <v>69918</v>
      </c>
    </row>
    <row r="95" spans="1:4" x14ac:dyDescent="0.45">
      <c r="A95" s="1" t="s">
        <v>66</v>
      </c>
      <c r="B95" s="12">
        <v>37446</v>
      </c>
      <c r="C95" s="12">
        <v>47460</v>
      </c>
      <c r="D95" s="12">
        <v>50473</v>
      </c>
    </row>
    <row r="96" spans="1:4" x14ac:dyDescent="0.45">
      <c r="A96" s="1" t="s">
        <v>67</v>
      </c>
      <c r="B96" s="12">
        <v>-10708</v>
      </c>
      <c r="C96" s="12">
        <v>-11085</v>
      </c>
      <c r="D96" s="12">
        <v>-7309</v>
      </c>
    </row>
    <row r="97" spans="1:4" x14ac:dyDescent="0.45">
      <c r="A97" s="1" t="s">
        <v>68</v>
      </c>
      <c r="B97" s="12">
        <v>-306</v>
      </c>
      <c r="C97" s="12">
        <v>-11085</v>
      </c>
      <c r="D97" s="12">
        <v>-1524</v>
      </c>
    </row>
    <row r="98" spans="1:4" x14ac:dyDescent="0.45">
      <c r="A98" s="1" t="s">
        <v>60</v>
      </c>
      <c r="B98" s="12">
        <v>-1780</v>
      </c>
      <c r="C98" s="12">
        <v>-11085</v>
      </c>
      <c r="D98" s="12">
        <v>-909</v>
      </c>
    </row>
    <row r="99" spans="1:4" x14ac:dyDescent="0.45">
      <c r="A99" s="8" t="s">
        <v>69</v>
      </c>
      <c r="B99" s="13">
        <f>+SUM(B93:B98)</f>
        <v>-22354</v>
      </c>
      <c r="C99" s="12">
        <v>-11085</v>
      </c>
      <c r="D99" s="13">
        <f t="shared" ref="C99:D99" si="20">+SUM(D93:D98)</f>
        <v>-4289</v>
      </c>
    </row>
    <row r="100" spans="1:4" x14ac:dyDescent="0.45">
      <c r="A100" s="7" t="s">
        <v>70</v>
      </c>
      <c r="B100" s="12"/>
      <c r="C100" s="12"/>
      <c r="D100" s="12"/>
    </row>
    <row r="101" spans="1:4" x14ac:dyDescent="0.45">
      <c r="A101" s="1" t="s">
        <v>85</v>
      </c>
      <c r="B101" s="12">
        <v>-6223</v>
      </c>
      <c r="C101" s="12">
        <v>-6556</v>
      </c>
      <c r="D101" s="12">
        <v>-3634</v>
      </c>
    </row>
    <row r="102" spans="1:4" x14ac:dyDescent="0.45">
      <c r="A102" s="1" t="s">
        <v>71</v>
      </c>
      <c r="B102" s="12">
        <v>-14841</v>
      </c>
      <c r="C102" s="12">
        <v>-14467</v>
      </c>
      <c r="D102" s="12">
        <v>-14081</v>
      </c>
    </row>
    <row r="103" spans="1:4" x14ac:dyDescent="0.45">
      <c r="A103" s="1" t="s">
        <v>72</v>
      </c>
      <c r="B103" s="12">
        <v>-89402</v>
      </c>
      <c r="C103" s="12">
        <v>-85971</v>
      </c>
      <c r="D103" s="12">
        <v>-72358</v>
      </c>
    </row>
    <row r="104" spans="1:4" x14ac:dyDescent="0.45">
      <c r="A104" s="1" t="s">
        <v>73</v>
      </c>
      <c r="B104" s="12">
        <v>5465</v>
      </c>
      <c r="C104" s="12">
        <v>20393</v>
      </c>
      <c r="D104" s="12">
        <v>16091</v>
      </c>
    </row>
    <row r="105" spans="1:4" x14ac:dyDescent="0.45">
      <c r="A105" s="1" t="s">
        <v>74</v>
      </c>
      <c r="B105" s="12">
        <v>-9543</v>
      </c>
      <c r="C105" s="12">
        <v>-8750</v>
      </c>
      <c r="D105" s="12">
        <v>-12629</v>
      </c>
    </row>
    <row r="106" spans="1:4" x14ac:dyDescent="0.45">
      <c r="A106" s="1" t="s">
        <v>75</v>
      </c>
      <c r="B106" s="12">
        <v>3955</v>
      </c>
      <c r="C106" s="12">
        <v>1022</v>
      </c>
      <c r="D106" s="12">
        <v>-963</v>
      </c>
    </row>
    <row r="107" spans="1:4" x14ac:dyDescent="0.45">
      <c r="A107" s="1" t="s">
        <v>60</v>
      </c>
      <c r="B107" s="12">
        <v>-160</v>
      </c>
      <c r="C107" s="12">
        <v>976</v>
      </c>
      <c r="D107" s="12">
        <v>754</v>
      </c>
    </row>
    <row r="108" spans="1:4" x14ac:dyDescent="0.45">
      <c r="A108" s="8" t="s">
        <v>76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 x14ac:dyDescent="0.45">
      <c r="A109" s="8" t="s">
        <v>77</v>
      </c>
      <c r="B109" s="13">
        <f>+B91+B99+B108</f>
        <v>-10952</v>
      </c>
      <c r="C109" s="13">
        <f t="shared" ref="C109:D109" si="22">+C91+C99+C108</f>
        <v>-400</v>
      </c>
      <c r="D109" s="13">
        <f t="shared" si="22"/>
        <v>-10435</v>
      </c>
    </row>
    <row r="110" spans="1:4" ht="14.65" thickBot="1" x14ac:dyDescent="0.5">
      <c r="A110" s="9" t="s">
        <v>78</v>
      </c>
      <c r="B110" s="14">
        <v>24977</v>
      </c>
      <c r="C110" s="14">
        <v>35929</v>
      </c>
      <c r="D110" s="14">
        <v>39789</v>
      </c>
    </row>
    <row r="111" spans="1:4" ht="14.65" thickTop="1" x14ac:dyDescent="0.45">
      <c r="B111" s="12"/>
      <c r="C111" s="12"/>
      <c r="D111" s="12"/>
    </row>
    <row r="112" spans="1:4" x14ac:dyDescent="0.45">
      <c r="A112" t="s">
        <v>79</v>
      </c>
      <c r="B112" s="12"/>
      <c r="C112" s="12"/>
      <c r="D112" s="12"/>
    </row>
    <row r="113" spans="1:4" x14ac:dyDescent="0.45">
      <c r="A113" t="s">
        <v>80</v>
      </c>
      <c r="B113" s="12">
        <v>19573</v>
      </c>
      <c r="C113" s="12">
        <v>25385</v>
      </c>
      <c r="D113" s="12">
        <v>9501</v>
      </c>
    </row>
    <row r="114" spans="1:4" x14ac:dyDescent="0.45">
      <c r="A114" t="s">
        <v>81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81"/>
  <sheetViews>
    <sheetView tabSelected="1" workbookViewId="0">
      <selection activeCell="C86" sqref="C86"/>
    </sheetView>
  </sheetViews>
  <sheetFormatPr defaultRowHeight="14.25" x14ac:dyDescent="0.45"/>
  <cols>
    <col min="1" max="1" width="4.6640625" customWidth="1"/>
    <col min="2" max="2" width="44.86328125" customWidth="1"/>
    <col min="3" max="3" width="12.19921875" bestFit="1" customWidth="1"/>
    <col min="4" max="5" width="9.796875" bestFit="1" customWidth="1"/>
  </cols>
  <sheetData>
    <row r="1" spans="1:10" ht="60" customHeight="1" x14ac:dyDescent="0.75">
      <c r="A1" s="6"/>
      <c r="B1" s="20" t="s">
        <v>0</v>
      </c>
      <c r="C1" s="19"/>
      <c r="D1" s="19"/>
      <c r="E1" s="19"/>
      <c r="F1" s="19"/>
      <c r="G1" s="19"/>
      <c r="H1" s="19"/>
      <c r="I1" s="19"/>
      <c r="J1" s="19"/>
    </row>
    <row r="2" spans="1:10" x14ac:dyDescent="0.45">
      <c r="C2" s="23" t="s">
        <v>22</v>
      </c>
      <c r="D2" s="23"/>
      <c r="E2" s="23"/>
    </row>
    <row r="3" spans="1:10" x14ac:dyDescent="0.45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 x14ac:dyDescent="0.45">
      <c r="A4" s="18">
        <v>1</v>
      </c>
      <c r="B4" s="7" t="s">
        <v>98</v>
      </c>
    </row>
    <row r="5" spans="1:10" x14ac:dyDescent="0.45">
      <c r="A5" s="18">
        <f>+A4+0.1</f>
        <v>1.1000000000000001</v>
      </c>
      <c r="B5" s="1" t="s">
        <v>99</v>
      </c>
      <c r="C5">
        <f>'Financial Statements'!B42/'Financial Statements'!B56</f>
        <v>0.87935602862672257</v>
      </c>
      <c r="D5">
        <f>'Financial Statements'!C42/'Financial Statements'!C56</f>
        <v>1.0745531195957954</v>
      </c>
      <c r="E5">
        <f>'Financial Statements'!D42/'Financial Statements'!D56</f>
        <v>1.3636044481554577</v>
      </c>
    </row>
    <row r="6" spans="1:10" x14ac:dyDescent="0.45">
      <c r="A6" s="18">
        <f t="shared" ref="A6:A13" si="0">+A5+0.1</f>
        <v>1.2000000000000002</v>
      </c>
      <c r="B6" s="1" t="s">
        <v>100</v>
      </c>
      <c r="C6">
        <f>('Financial Statements'!B42-'Financial Statements'!B39)/'Financial Statements'!B56</f>
        <v>0.84723539114961488</v>
      </c>
      <c r="D6">
        <f>(134836-6580)/125481</f>
        <v>1.0221149018576519</v>
      </c>
      <c r="E6">
        <f>(143713-4061)/105392</f>
        <v>1.325072111735236</v>
      </c>
    </row>
    <row r="7" spans="1:10" x14ac:dyDescent="0.45">
      <c r="A7" s="18">
        <f t="shared" si="0"/>
        <v>1.3000000000000003</v>
      </c>
      <c r="B7" s="1" t="s">
        <v>101</v>
      </c>
      <c r="C7">
        <f>23646/153982</f>
        <v>0.15356340351469652</v>
      </c>
      <c r="D7">
        <f t="shared" ref="D7:E7" si="1">23646/153982</f>
        <v>0.15356340351469652</v>
      </c>
      <c r="E7">
        <f t="shared" si="1"/>
        <v>0.15356340351469652</v>
      </c>
    </row>
    <row r="8" spans="1:10" x14ac:dyDescent="0.45">
      <c r="A8" s="18">
        <f t="shared" si="0"/>
        <v>1.4000000000000004</v>
      </c>
      <c r="B8" s="1" t="s">
        <v>102</v>
      </c>
      <c r="C8">
        <f>'Financial Statements'!B42/('Financial Statements'!B17-'Financial Statements'!B79)/365</f>
        <v>9.2187719673896273E-3</v>
      </c>
      <c r="D8">
        <f>'Financial Statements'!C42/('Financial Statements'!C17-'Financial Statements'!C79)/365</f>
        <v>1.1330665847625586E-2</v>
      </c>
      <c r="E8">
        <f>'Financial Statements'!D42/('Financial Statements'!D17-'Financial Statements'!D79)/365</f>
        <v>1.4259533774277215E-2</v>
      </c>
    </row>
    <row r="9" spans="1:10" x14ac:dyDescent="0.45">
      <c r="A9" s="18">
        <f t="shared" si="0"/>
        <v>1.5000000000000004</v>
      </c>
      <c r="B9" s="1" t="s">
        <v>103</v>
      </c>
      <c r="C9">
        <f>365/43.02271</f>
        <v>8.4838914145575686</v>
      </c>
      <c r="D9">
        <f t="shared" ref="D9:E9" si="2">365/43.02271</f>
        <v>8.4838914145575686</v>
      </c>
      <c r="E9">
        <f t="shared" si="2"/>
        <v>8.4838914145575686</v>
      </c>
    </row>
    <row r="10" spans="1:10" x14ac:dyDescent="0.45">
      <c r="A10" s="18">
        <f t="shared" si="0"/>
        <v>1.6000000000000005</v>
      </c>
      <c r="B10" s="1" t="s">
        <v>104</v>
      </c>
      <c r="C10">
        <f>('Financial Statements'!B51/'Financial Statements'!B12)*365</f>
        <v>104.68527730310539</v>
      </c>
      <c r="D10">
        <f>('Financial Statements'!C51/'Financial Statements'!C12)*365</f>
        <v>93.851071222315596</v>
      </c>
      <c r="E10">
        <f>('Financial Statements'!D51/'Financial Statements'!D12)*365</f>
        <v>91.048189715674198</v>
      </c>
    </row>
    <row r="11" spans="1:10" x14ac:dyDescent="0.45">
      <c r="A11" s="18">
        <f t="shared" si="0"/>
        <v>1.7000000000000006</v>
      </c>
      <c r="B11" s="1" t="s">
        <v>105</v>
      </c>
      <c r="C11" s="26">
        <f>'Financial Statements'!B38/('Financial Statements'!B12/365)</f>
        <v>46.018090236461404</v>
      </c>
      <c r="D11" s="26">
        <f>'Financial Statements'!C38/('Financial Statements'!C12/365)</f>
        <v>45.034392739258436</v>
      </c>
      <c r="E11" s="26">
        <f>'Financial Statements'!D38/('Financial Statements'!D12/365)</f>
        <v>34.700605688875257</v>
      </c>
    </row>
    <row r="12" spans="1:10" x14ac:dyDescent="0.45">
      <c r="A12" s="18">
        <f t="shared" si="0"/>
        <v>1.8000000000000007</v>
      </c>
      <c r="B12" s="1" t="s">
        <v>106</v>
      </c>
      <c r="C12" s="26">
        <f>(C9+C11)-C10</f>
        <v>-50.183295652086422</v>
      </c>
      <c r="D12" s="26">
        <f>(D9+D11)-D10</f>
        <v>-40.332787068499591</v>
      </c>
      <c r="E12" s="26">
        <f>(E9+E11)-E10</f>
        <v>-47.863692612241373</v>
      </c>
    </row>
    <row r="13" spans="1:10" x14ac:dyDescent="0.45">
      <c r="A13" s="18">
        <f t="shared" si="0"/>
        <v>1.9000000000000008</v>
      </c>
      <c r="B13" s="1" t="s">
        <v>107</v>
      </c>
    </row>
    <row r="14" spans="1:10" x14ac:dyDescent="0.45">
      <c r="A14" s="18"/>
      <c r="B14" s="3" t="s">
        <v>108</v>
      </c>
      <c r="C14">
        <f>'Financial Statements'!B42/'Financial Statements'!B56</f>
        <v>0.87935602862672257</v>
      </c>
      <c r="D14">
        <f>'Financial Statements'!C42/'Financial Statements'!C56</f>
        <v>1.0745531195957954</v>
      </c>
      <c r="E14">
        <f>'Financial Statements'!D42/'Financial Statements'!D56</f>
        <v>1.3636044481554577</v>
      </c>
    </row>
    <row r="15" spans="1:10" x14ac:dyDescent="0.45">
      <c r="A15" s="18"/>
    </row>
    <row r="16" spans="1:10" x14ac:dyDescent="0.45">
      <c r="A16" s="18">
        <f>+A4+1</f>
        <v>2</v>
      </c>
      <c r="B16" s="17" t="s">
        <v>109</v>
      </c>
    </row>
    <row r="17" spans="1:5" x14ac:dyDescent="0.45">
      <c r="A17" s="18">
        <f>+A16+0.1</f>
        <v>2.1</v>
      </c>
      <c r="B17" s="1" t="s">
        <v>9</v>
      </c>
      <c r="C17">
        <f>'Financial Statements'!B13/'Financial Statements'!B8</f>
        <v>0.43309630561360085</v>
      </c>
      <c r="D17">
        <f>'Financial Statements'!C13/'Financial Statements'!C8</f>
        <v>0.41779359625167778</v>
      </c>
      <c r="E17">
        <f>'Financial Statements'!D13/'Financial Statements'!D8</f>
        <v>0.38233247727810865</v>
      </c>
    </row>
    <row r="18" spans="1:5" x14ac:dyDescent="0.45">
      <c r="A18" s="18">
        <f>+A17+0.1</f>
        <v>2.2000000000000002</v>
      </c>
      <c r="B18" s="1" t="s">
        <v>110</v>
      </c>
      <c r="C18">
        <f>'Financial Statements'!B18+'Financial Statements'!B79</f>
        <v>130541</v>
      </c>
      <c r="D18">
        <f>'Financial Statements'!C18+'Financial Statements'!C79</f>
        <v>120233</v>
      </c>
      <c r="E18">
        <f>'Financial Statements'!D18+'Financial Statements'!D79</f>
        <v>77344</v>
      </c>
    </row>
    <row r="19" spans="1:5" x14ac:dyDescent="0.45">
      <c r="A19" s="18"/>
      <c r="B19" s="3" t="s">
        <v>148</v>
      </c>
      <c r="C19">
        <f>C18/'Financial Statements'!B8</f>
        <v>0.3310467428130896</v>
      </c>
      <c r="D19">
        <f>D18/'Financial Statements'!C8</f>
        <v>0.32866979938056462</v>
      </c>
      <c r="E19">
        <f>E18/'Financial Statements'!D8</f>
        <v>0.2817478097736007</v>
      </c>
    </row>
    <row r="20" spans="1:5" x14ac:dyDescent="0.45">
      <c r="A20" s="18">
        <f>+A18+0.1</f>
        <v>2.3000000000000003</v>
      </c>
      <c r="B20" s="1" t="s">
        <v>111</v>
      </c>
      <c r="C20">
        <f>'Financial Statements'!B18/'Financial Statements'!B8</f>
        <v>0.30288744395528594</v>
      </c>
      <c r="D20">
        <f>'Financial Statements'!C18/'Financial Statements'!C8</f>
        <v>0.29782377527561593</v>
      </c>
      <c r="E20">
        <f>'Financial Statements'!D18/'Financial Statements'!D8</f>
        <v>0.24147314354406862</v>
      </c>
    </row>
    <row r="21" spans="1:5" x14ac:dyDescent="0.45">
      <c r="A21" s="18"/>
      <c r="B21" s="3" t="s">
        <v>112</v>
      </c>
      <c r="C21">
        <f>'Financial Statements'!B8-'Financial Statements'!B12-'Financial Statements'!B17</f>
        <v>119437</v>
      </c>
      <c r="D21">
        <f>'Financial Statements'!C8-'Financial Statements'!C12-'Financial Statements'!C17</f>
        <v>108949</v>
      </c>
      <c r="E21">
        <f>'Financial Statements'!D8-'Financial Statements'!D12-'Financial Statements'!D17</f>
        <v>66288</v>
      </c>
    </row>
    <row r="22" spans="1:5" x14ac:dyDescent="0.45">
      <c r="A22" s="18">
        <f>+A20+0.1</f>
        <v>2.4000000000000004</v>
      </c>
      <c r="B22" s="1" t="s">
        <v>113</v>
      </c>
      <c r="C22">
        <f>'Financial Statements'!B22/'Financial Statements'!B8</f>
        <v>0.25309640705199732</v>
      </c>
      <c r="D22">
        <f>'Financial Statements'!C22/'Financial Statements'!C8</f>
        <v>0.25881793355694238</v>
      </c>
      <c r="E22">
        <f>'Financial Statements'!D22/'Financial Statements'!D8</f>
        <v>0.20913611278072236</v>
      </c>
    </row>
    <row r="23" spans="1:5" x14ac:dyDescent="0.45">
      <c r="A23" s="18"/>
    </row>
    <row r="24" spans="1:5" x14ac:dyDescent="0.45">
      <c r="A24" s="18">
        <f>+A16+1</f>
        <v>3</v>
      </c>
      <c r="B24" s="7" t="s">
        <v>114</v>
      </c>
    </row>
    <row r="25" spans="1:5" x14ac:dyDescent="0.45">
      <c r="A25" s="18">
        <f>+A24+0.1</f>
        <v>3.1</v>
      </c>
      <c r="B25" s="1" t="s">
        <v>115</v>
      </c>
      <c r="C25">
        <f>'Financial Statements'!B62/'Financial Statements'!B68</f>
        <v>5.9615369434796337</v>
      </c>
      <c r="D25">
        <f>'Financial Statements'!C62/'Financial Statements'!C68</f>
        <v>4.5635124425423994</v>
      </c>
      <c r="E25">
        <f>'Financial Statements'!D62/'Financial Statements'!D68</f>
        <v>3.9570394404566951</v>
      </c>
    </row>
    <row r="26" spans="1:5" x14ac:dyDescent="0.45">
      <c r="A26" s="18">
        <f t="shared" ref="A26:A30" si="3">+A25+0.1</f>
        <v>3.2</v>
      </c>
      <c r="B26" s="1" t="s">
        <v>116</v>
      </c>
      <c r="C26">
        <f>'Financial Statements'!B62/'Financial Statements'!B48</f>
        <v>0.85635355983614692</v>
      </c>
      <c r="D26">
        <f>'Financial Statements'!C62/'Financial Statements'!C48</f>
        <v>0.82025743443057308</v>
      </c>
      <c r="E26">
        <f>'Financial Statements'!D62/'Financial Statements'!D48</f>
        <v>0.79826668477992391</v>
      </c>
    </row>
    <row r="27" spans="1:5" x14ac:dyDescent="0.45">
      <c r="A27" s="18">
        <f t="shared" si="3"/>
        <v>3.3000000000000003</v>
      </c>
      <c r="B27" s="1" t="s">
        <v>117</v>
      </c>
      <c r="C27">
        <f>'Financial Statements'!B59/('Financial Statements'!B48-'Financial Statements'!B56)</f>
        <v>0.49784930548917611</v>
      </c>
      <c r="D27">
        <f>'Financial Statements'!C59/('Financial Statements'!C48-'Financial Statements'!C56)</f>
        <v>0.4837953006593621</v>
      </c>
      <c r="E27">
        <f>'Financial Statements'!D59/('Financial Statements'!D48-'Financial Statements'!D56)</f>
        <v>0.45157348418277682</v>
      </c>
    </row>
    <row r="28" spans="1:5" x14ac:dyDescent="0.45">
      <c r="A28" s="18" t="e" cm="1">
        <f t="array" ref="A28">'Financial Statements'!B12/Average</f>
        <v>#NAME?</v>
      </c>
      <c r="B28" s="1" t="s">
        <v>118</v>
      </c>
      <c r="C28">
        <f>'Financial Statements'!B18/'Financial Statements'!B114</f>
        <v>41.68830715532286</v>
      </c>
      <c r="D28">
        <f>'Financial Statements'!C18/'Financial Statements'!C114</f>
        <v>40.546706363974693</v>
      </c>
      <c r="E28">
        <f>'Financial Statements'!D18/'Financial Statements'!D114</f>
        <v>22.081279147235175</v>
      </c>
    </row>
    <row r="29" spans="1:5" x14ac:dyDescent="0.45">
      <c r="A29" s="18" t="e">
        <f t="shared" si="3"/>
        <v>#NAME?</v>
      </c>
      <c r="B29" s="1" t="s">
        <v>119</v>
      </c>
      <c r="C29">
        <f>'Financial Statements'!B22/'Financial Statements'!B105</f>
        <v>-10.458241643089176</v>
      </c>
      <c r="D29">
        <f>'Financial Statements'!C22/'Financial Statements'!C105</f>
        <v>-10.820571428571428</v>
      </c>
      <c r="E29">
        <f>'Financial Statements'!D22/'Financial Statements'!D105</f>
        <v>-4.5459656346504076</v>
      </c>
    </row>
    <row r="30" spans="1:5" x14ac:dyDescent="0.45">
      <c r="A30" s="18" t="e">
        <f t="shared" si="3"/>
        <v>#NAME?</v>
      </c>
      <c r="B30" s="1" t="s">
        <v>120</v>
      </c>
      <c r="C30" s="25">
        <f>('Financial Statements'!B22+'Financial Statements'!B79) - ('Financial Statements'!B48-'Financial Statements'!B42+'Financial Statements'!B47)-('Financial Statements'!B55+'Financial Statements'!B59)+('Financial Statements'!B45-'Financial Statements'!C46+'Financial Statements'!B79)-('Financial Statements'!B56+'Financial Statements'!B62)-'Financial Statements'!B36</f>
        <v>-909219</v>
      </c>
      <c r="D30" s="25">
        <f>('Financial Statements'!C22+'Financial Statements'!C79) - ('Financial Statements'!C48-'Financial Statements'!C42+'Financial Statements'!C47)-('Financial Statements'!C55+'Financial Statements'!C59)+('Financial Statements'!C45-'Financial Statements'!D46+'Financial Statements'!C79)-('Financial Statements'!C56+'Financial Statements'!C62)-'Financial Statements'!C36</f>
        <v>-885218</v>
      </c>
      <c r="E30" s="25">
        <f>('Financial Statements'!D22+'Financial Statements'!D79) - ('Financial Statements'!D48-'Financial Statements'!D42+'Financial Statements'!D47)-('Financial Statements'!D55+'Financial Statements'!D59)+('Financial Statements'!D45-'Financial Statements'!E46+'Financial Statements'!D79)-('Financial Statements'!D56+'Financial Statements'!D62)-'Financial Statements'!D36</f>
        <v>-753458</v>
      </c>
    </row>
    <row r="31" spans="1:5" x14ac:dyDescent="0.45">
      <c r="A31" s="18"/>
      <c r="B31" s="3" t="s">
        <v>121</v>
      </c>
    </row>
    <row r="32" spans="1:5" x14ac:dyDescent="0.45">
      <c r="A32" s="18"/>
    </row>
    <row r="33" spans="1:5" x14ac:dyDescent="0.45">
      <c r="A33" s="18">
        <f>+A24+1</f>
        <v>4</v>
      </c>
      <c r="B33" s="17" t="s">
        <v>122</v>
      </c>
    </row>
    <row r="34" spans="1:5" x14ac:dyDescent="0.45">
      <c r="A34" s="18">
        <f>+A33+0.1</f>
        <v>4.0999999999999996</v>
      </c>
      <c r="B34" s="1" t="s">
        <v>123</v>
      </c>
      <c r="C34">
        <f>'Financial Statements'!B8/AVERAGE('Financial Statements'!B48:D48)</f>
        <v>1.1511601769093414</v>
      </c>
      <c r="D34">
        <f>'Financial Statements'!C8/AVERAGE('Financial Statements'!C48:E48)</f>
        <v>1.084078886929722</v>
      </c>
      <c r="E34">
        <f>'Financial Statements'!D8/AVERAGE('Financial Statements'!D48:F48)</f>
        <v>0.84756150274168851</v>
      </c>
    </row>
    <row r="35" spans="1:5" x14ac:dyDescent="0.45">
      <c r="A35" s="18">
        <f t="shared" ref="A35:A37" si="4">+A34+0.1</f>
        <v>4.1999999999999993</v>
      </c>
      <c r="B35" s="1" t="s">
        <v>124</v>
      </c>
      <c r="C35">
        <f>'Financial Statements'!B8/'Financial Statements'!B47</f>
        <v>1.8142535081665516</v>
      </c>
      <c r="D35">
        <f>'Financial Statements'!C8/'Financial Statements'!C47</f>
        <v>1.6922966608994938</v>
      </c>
      <c r="E35">
        <f>'Financial Statements'!D8/'Financial Statements'!D47</f>
        <v>1.5236020535590398</v>
      </c>
    </row>
    <row r="36" spans="1:5" x14ac:dyDescent="0.45">
      <c r="A36" s="18">
        <f t="shared" si="4"/>
        <v>4.2999999999999989</v>
      </c>
      <c r="B36" s="1" t="s">
        <v>125</v>
      </c>
      <c r="C36">
        <f>'Financial Statements'!B12/AVERAGE(C9:E9)</f>
        <v>26349.465012767119</v>
      </c>
      <c r="D36">
        <f>'Financial Statements'!C12/AVERAGE(D9:F9)</f>
        <v>25104.163831534242</v>
      </c>
      <c r="E36">
        <f>'Financial Statements'!D12/AVERAGE(E9:G9)</f>
        <v>19985.993657232873</v>
      </c>
    </row>
    <row r="37" spans="1:5" x14ac:dyDescent="0.45">
      <c r="A37" s="18">
        <f t="shared" si="4"/>
        <v>4.3999999999999986</v>
      </c>
      <c r="B37" s="1" t="s">
        <v>126</v>
      </c>
      <c r="C37">
        <f>'Financial Statements'!B22/AVERAGE('Financial Statements'!B48:D48)</f>
        <v>0.2913545047170959</v>
      </c>
      <c r="D37">
        <f>'Financial Statements'!C22/AVERAGE('Financial Statements'!C48:E48)</f>
        <v>0.28057905732786081</v>
      </c>
      <c r="E37">
        <f>'Financial Statements'!D22/AVERAGE('Financial Statements'!D48:F48)</f>
        <v>0.1772557180259843</v>
      </c>
    </row>
    <row r="38" spans="1:5" x14ac:dyDescent="0.45">
      <c r="A38" s="18"/>
    </row>
    <row r="39" spans="1:5" x14ac:dyDescent="0.45">
      <c r="A39" s="18">
        <f>+A33+1</f>
        <v>5</v>
      </c>
      <c r="B39" s="17" t="s">
        <v>127</v>
      </c>
    </row>
    <row r="40" spans="1:5" x14ac:dyDescent="0.45">
      <c r="A40" s="18">
        <f>+A39+0.1</f>
        <v>5.0999999999999996</v>
      </c>
      <c r="B40" s="1" t="s">
        <v>128</v>
      </c>
      <c r="C40">
        <f>223.94/'Financial Statements'!B25</f>
        <v>36.651391162029455</v>
      </c>
      <c r="D40">
        <f>223.94/'Financial Statements'!C25</f>
        <v>39.918003565062385</v>
      </c>
      <c r="E40">
        <f>223.94/'Financial Statements'!D25</f>
        <v>68.274390243902445</v>
      </c>
    </row>
    <row r="41" spans="1:5" x14ac:dyDescent="0.45">
      <c r="A41" s="18">
        <f t="shared" ref="A41:A44" si="5">+A40+0.1</f>
        <v>5.1999999999999993</v>
      </c>
      <c r="B41" s="3" t="s">
        <v>129</v>
      </c>
      <c r="C41">
        <f>'Financial Statements'!B22-(0.00001*'Financial Statements'!B65)/0.00001*4443236</f>
        <v>-288139311560.99994</v>
      </c>
      <c r="D41">
        <f>'Financial Statements'!C22-(0.00001*'Financial Statements'!C65)/0.00001*4443236</f>
        <v>-254886138459.99997</v>
      </c>
      <c r="E41">
        <f>'Financial Statements'!D22-(0.00001*'Financial Statements'!D65)/0.00001*4443236</f>
        <v>-225623023433</v>
      </c>
    </row>
    <row r="42" spans="1:5" x14ac:dyDescent="0.45">
      <c r="A42" s="18">
        <f t="shared" si="5"/>
        <v>5.2999999999999989</v>
      </c>
      <c r="B42" s="1" t="s">
        <v>130</v>
      </c>
      <c r="C42">
        <f>233.94/('Financial Statements'!B48-'Financial Statements'!B62)</f>
        <v>4.6167508683296497E-3</v>
      </c>
      <c r="D42">
        <f>233.94/('Financial Statements'!C48-'Financial Statements'!C62)</f>
        <v>3.7080361388492629E-3</v>
      </c>
      <c r="E42">
        <f>233.94/('Financial Statements'!D48-'Financial Statements'!D62)</f>
        <v>3.5804037404918959E-3</v>
      </c>
    </row>
    <row r="43" spans="1:5" x14ac:dyDescent="0.45">
      <c r="A43" s="18">
        <f t="shared" si="5"/>
        <v>5.3999999999999986</v>
      </c>
      <c r="B43" s="3" t="s">
        <v>131</v>
      </c>
      <c r="C43">
        <f>'Financial Statements'!B68/4754986</f>
        <v>1.0656603405351772E-2</v>
      </c>
      <c r="D43">
        <f>'Financial Statements'!C68/4754986</f>
        <v>1.3268177866349134E-2</v>
      </c>
      <c r="E43">
        <f>'Financial Statements'!D68/4754986</f>
        <v>1.3741155073853003E-2</v>
      </c>
    </row>
    <row r="44" spans="1:5" x14ac:dyDescent="0.45">
      <c r="A44" s="18">
        <f t="shared" si="5"/>
        <v>5.4999999999999982</v>
      </c>
      <c r="B44" s="1" t="s">
        <v>132</v>
      </c>
      <c r="C44">
        <f>'Financial Statements'!B68/'Financial Statements'!B22</f>
        <v>0.50772020881135838</v>
      </c>
      <c r="D44">
        <f>'Financial Statements'!C68/'Financial Statements'!C22</f>
        <v>0.66634980988593151</v>
      </c>
      <c r="E44">
        <f>'Financial Statements'!D68/'Financial Statements'!D22</f>
        <v>1.1380920032746338</v>
      </c>
    </row>
    <row r="45" spans="1:5" x14ac:dyDescent="0.45">
      <c r="A45" s="18"/>
      <c r="B45" s="3" t="s">
        <v>133</v>
      </c>
      <c r="C45">
        <f>'Financial Statements'!B68/4754986</f>
        <v>1.0656603405351772E-2</v>
      </c>
      <c r="D45">
        <f>'Financial Statements'!C68/4754986</f>
        <v>1.3268177866349134E-2</v>
      </c>
      <c r="E45">
        <f>'Financial Statements'!D68/4754986</f>
        <v>1.3741155073853003E-2</v>
      </c>
    </row>
    <row r="46" spans="1:5" x14ac:dyDescent="0.45">
      <c r="A46" s="18">
        <f>+A44+0.1</f>
        <v>5.5999999999999979</v>
      </c>
      <c r="B46" s="1" t="s">
        <v>134</v>
      </c>
      <c r="C46">
        <f>('Financial Statements'!B68/4754986)/223.94</f>
        <v>4.7586868828042207E-5</v>
      </c>
      <c r="D46">
        <f>('Financial Statements'!C68/4754986)/223.94</f>
        <v>5.9248807119537084E-5</v>
      </c>
      <c r="E46">
        <f>('Financial Statements'!D68/4754986)/223.94</f>
        <v>6.1360878243516142E-5</v>
      </c>
    </row>
    <row r="47" spans="1:5" x14ac:dyDescent="0.45">
      <c r="A47" s="18">
        <f t="shared" ref="A47:A50" si="6">+A45+0.1</f>
        <v>0.1</v>
      </c>
      <c r="B47" s="1" t="s">
        <v>135</v>
      </c>
      <c r="C47">
        <f>'Financial Statements'!B22/AVERAGE('Financial Statements'!B68:D68)</f>
        <v>1.6717327094767755</v>
      </c>
      <c r="D47">
        <f>'Financial Statements'!C22/AVERAGE('Financial Statements'!C68:E68)</f>
        <v>1.4744333444938449</v>
      </c>
      <c r="E47">
        <f>'Financial Statements'!D22/AVERAGE('Financial Statements'!D68:F68)</f>
        <v>0.87866358530127486</v>
      </c>
    </row>
    <row r="48" spans="1:5" x14ac:dyDescent="0.45">
      <c r="A48" s="18">
        <f t="shared" si="6"/>
        <v>5.6999999999999975</v>
      </c>
      <c r="B48" s="1" t="s">
        <v>136</v>
      </c>
      <c r="C48">
        <f>'Financial Statements'!B18/'Financial Statements'!B48-'Financial Statements'!B56</f>
        <v>-153981.6614165639</v>
      </c>
      <c r="D48">
        <f>'Financial Statements'!C18/'Financial Statements'!C48-'Financial Statements'!C56</f>
        <v>-125480.68960575723</v>
      </c>
      <c r="E48">
        <f>'Financial Statements'!D18/'Financial Statements'!D48-'Financial Statements'!D56</f>
        <v>-105391.79533665959</v>
      </c>
    </row>
    <row r="49" spans="1:5" x14ac:dyDescent="0.45">
      <c r="A49" s="18">
        <f t="shared" si="6"/>
        <v>0.2</v>
      </c>
      <c r="B49" s="1" t="s">
        <v>126</v>
      </c>
      <c r="C49">
        <f>'Financial Statements'!B22/'Financial Statements'!B48</f>
        <v>0.28292440929256851</v>
      </c>
      <c r="D49">
        <f>'Financial Statements'!C22/'Financial Statements'!C48</f>
        <v>0.26974205275183616</v>
      </c>
      <c r="E49">
        <f>'Financial Statements'!D22/'Financial Statements'!D48</f>
        <v>0.1772557180259843</v>
      </c>
    </row>
    <row r="50" spans="1:5" x14ac:dyDescent="0.45">
      <c r="A50" s="18">
        <f t="shared" si="6"/>
        <v>5.7999999999999972</v>
      </c>
      <c r="B50" s="1" t="s">
        <v>126</v>
      </c>
    </row>
    <row r="51" spans="1:5" x14ac:dyDescent="0.45">
      <c r="A51" s="18"/>
      <c r="B51" s="3" t="s">
        <v>137</v>
      </c>
      <c r="C51">
        <f>'Financial Statements'!B22/'Financial Statements'!B48</f>
        <v>0.28292440929256851</v>
      </c>
      <c r="D51">
        <f>'Financial Statements'!C22/'Financial Statements'!C48</f>
        <v>0.26974205275183616</v>
      </c>
      <c r="E51">
        <f>'Financial Statements'!D22/'Financial Statements'!D48</f>
        <v>0.1772557180259843</v>
      </c>
    </row>
    <row r="55" spans="1:5" x14ac:dyDescent="0.45">
      <c r="B55" s="7" t="s">
        <v>149</v>
      </c>
    </row>
    <row r="56" spans="1:5" x14ac:dyDescent="0.45">
      <c r="B56" t="s">
        <v>150</v>
      </c>
      <c r="C56">
        <f>'Financial Statements'!C8-'Financial Statements'!D8/'Financial Statements'!C8*100</f>
        <v>365741.95838082978</v>
      </c>
    </row>
    <row r="57" spans="1:5" x14ac:dyDescent="0.45">
      <c r="B57" t="s">
        <v>151</v>
      </c>
      <c r="C57">
        <f>'Financial Statements'!B8-'Financial Statements'!C8/'Financial Statements'!B8*100</f>
        <v>394235.23027530382</v>
      </c>
    </row>
    <row r="59" spans="1:5" x14ac:dyDescent="0.45">
      <c r="B59" t="s">
        <v>152</v>
      </c>
      <c r="C59">
        <f>'Financial Statements'!B8-'Financial Statements'!B12</f>
        <v>170782</v>
      </c>
      <c r="D59">
        <f>'Financial Statements'!C8-'Financial Statements'!C12</f>
        <v>152836</v>
      </c>
      <c r="E59">
        <f>'Financial Statements'!D8-'Financial Statements'!D12</f>
        <v>104956</v>
      </c>
    </row>
    <row r="60" spans="1:5" x14ac:dyDescent="0.45">
      <c r="B60" t="s">
        <v>153</v>
      </c>
      <c r="C60">
        <f>D59-E59/D59*100</f>
        <v>152767.32769766284</v>
      </c>
      <c r="D60">
        <f>E59-F59/E59*100</f>
        <v>104956</v>
      </c>
    </row>
    <row r="61" spans="1:5" x14ac:dyDescent="0.45">
      <c r="B61" t="s">
        <v>154</v>
      </c>
    </row>
    <row r="62" spans="1:5" x14ac:dyDescent="0.45">
      <c r="B62" t="s">
        <v>155</v>
      </c>
      <c r="C62">
        <f>'Financial Statements'!B15-'Financial Statements'!C15/'Financial Statements'!B15</f>
        <v>26250.1652127538</v>
      </c>
      <c r="D62">
        <f>'Financial Statements'!C15-'Financial Statements'!D15/'Financial Statements'!C15</f>
        <v>21913.144291320616</v>
      </c>
      <c r="E62">
        <f>'Financial Statements'!D15-'Financial Statements'!E15/'Financial Statements'!D15</f>
        <v>18752</v>
      </c>
    </row>
    <row r="63" spans="1:5" x14ac:dyDescent="0.45">
      <c r="B63" t="s">
        <v>12</v>
      </c>
      <c r="C63">
        <f>'Financial Statements'!B16-'Financial Statements'!C16/'Financial Statements'!B16</f>
        <v>25093.124372359925</v>
      </c>
      <c r="D63">
        <f>'Financial Statements'!C16-'Financial Statements'!D16/'Financial Statements'!C16</f>
        <v>21972.093614891004</v>
      </c>
      <c r="E63">
        <f>'Financial Statements'!D16-'Financial Statements'!E16/'Financial Statements'!D16</f>
        <v>19916</v>
      </c>
    </row>
    <row r="65" spans="2:5" x14ac:dyDescent="0.45">
      <c r="B65" s="7" t="s">
        <v>90</v>
      </c>
    </row>
    <row r="66" spans="2:5" x14ac:dyDescent="0.45">
      <c r="B66" t="s">
        <v>156</v>
      </c>
      <c r="C66">
        <f>'Financial Statements'!B48-'Financial Statements'!C48/'Financial Statements'!B48*100</f>
        <v>352655.49694547208</v>
      </c>
      <c r="D66">
        <f>'Financial Statements'!C48-'Financial Statements'!D48/'Financial Statements'!C48*100</f>
        <v>350909.72474230913</v>
      </c>
      <c r="E66">
        <f>'Financial Statements'!D48-'Financial Statements'!E48/'Financial Statements'!D48*100</f>
        <v>323888</v>
      </c>
    </row>
    <row r="67" spans="2:5" x14ac:dyDescent="0.45">
      <c r="B67" t="s">
        <v>157</v>
      </c>
      <c r="C67">
        <f>'Financial Statements'!B62-'Financial Statements'!C62/'Financial Statements'!B62</f>
        <v>302082.04691094829</v>
      </c>
      <c r="D67">
        <f>'Financial Statements'!C62-'Financial Statements'!D62/'Financial Statements'!C62</f>
        <v>287911.10198602348</v>
      </c>
      <c r="E67">
        <f>'Financial Statements'!D62-'Financial Statements'!E62/'Financial Statements'!D62</f>
        <v>258549</v>
      </c>
    </row>
    <row r="68" spans="2:5" x14ac:dyDescent="0.45">
      <c r="B68" t="s">
        <v>158</v>
      </c>
      <c r="C68">
        <f>'Financial Statements'!B68-'Financial Statements'!C68/'Financial Statements'!B68*100</f>
        <v>50547.493369119038</v>
      </c>
      <c r="D68">
        <f>'Financial Statements'!C68-'Financial Statements'!D68/'Financial Statements'!C68*100</f>
        <v>62986.435251228402</v>
      </c>
      <c r="E68">
        <f>'Financial Statements'!D68-'Financial Statements'!E68/'Financial Statements'!D68*100</f>
        <v>65339</v>
      </c>
    </row>
    <row r="70" spans="2:5" x14ac:dyDescent="0.45">
      <c r="B70" t="s">
        <v>159</v>
      </c>
    </row>
    <row r="71" spans="2:5" x14ac:dyDescent="0.45">
      <c r="B71" t="s">
        <v>160</v>
      </c>
      <c r="C71">
        <f>'Financial Statements'!B12/'Financial Statements'!B8*100</f>
        <v>56.690369438639912</v>
      </c>
      <c r="D71">
        <f>'Financial Statements'!C12/'Financial Statements'!C8*100</f>
        <v>58.220640374832222</v>
      </c>
      <c r="E71">
        <f>'Financial Statements'!D12/'Financial Statements'!D8*100</f>
        <v>61.76675227218913</v>
      </c>
    </row>
    <row r="72" spans="2:5" x14ac:dyDescent="0.45">
      <c r="B72" t="s">
        <v>161</v>
      </c>
      <c r="C72">
        <f>'Financial Statements'!B13/'Financial Statements'!B8*100</f>
        <v>43.309630561360088</v>
      </c>
      <c r="D72">
        <f>'Financial Statements'!C13/'Financial Statements'!C8*100</f>
        <v>41.779359625167778</v>
      </c>
      <c r="E72">
        <f>'Financial Statements'!D13/'Financial Statements'!D8*100</f>
        <v>38.233247727810863</v>
      </c>
    </row>
    <row r="73" spans="2:5" x14ac:dyDescent="0.45">
      <c r="B73" t="s">
        <v>163</v>
      </c>
      <c r="C73">
        <f>'Financial Statements'!B15/'Financial Statements'!B8*100</f>
        <v>6.6571483637986653</v>
      </c>
      <c r="D73">
        <f>'Financial Statements'!C15/'Financial Statements'!C8*100</f>
        <v>5.9904269074427923</v>
      </c>
      <c r="E73">
        <f>'Financial Statements'!D15/'Financial Statements'!D8*100</f>
        <v>6.8309564140393064</v>
      </c>
    </row>
    <row r="74" spans="2:5" x14ac:dyDescent="0.45">
      <c r="B74" t="s">
        <v>162</v>
      </c>
      <c r="C74">
        <f>'Financial Statements'!B16/'Financial Statements'!B8*100</f>
        <v>6.3637378020328264</v>
      </c>
      <c r="D74">
        <f>'Financial Statements'!C16/'Financial Statements'!C8*100</f>
        <v>6.0065551901633878</v>
      </c>
      <c r="E74">
        <f>'Financial Statements'!D16/'Financial Statements'!D8*100</f>
        <v>7.254976959364698</v>
      </c>
    </row>
    <row r="75" spans="2:5" x14ac:dyDescent="0.45">
      <c r="B75" t="s">
        <v>14</v>
      </c>
      <c r="C75">
        <f>'Financial Statements'!B22/'Financial Statements'!B8*100</f>
        <v>25.309640705199733</v>
      </c>
      <c r="D75">
        <f>'Financial Statements'!C22/'Financial Statements'!C8*100</f>
        <v>25.881793355694239</v>
      </c>
      <c r="E75">
        <f>'Financial Statements'!D22/'Financial Statements'!D8*100</f>
        <v>20.913611278072235</v>
      </c>
    </row>
    <row r="76" spans="2:5" x14ac:dyDescent="0.45">
      <c r="B76" t="s">
        <v>164</v>
      </c>
      <c r="C76">
        <f>'Financial Statements'!B22/'Financial Statements'!B8*100</f>
        <v>25.309640705199733</v>
      </c>
      <c r="D76">
        <f>'Financial Statements'!C22/'Financial Statements'!C8*100</f>
        <v>25.881793355694239</v>
      </c>
      <c r="E76">
        <f>'Financial Statements'!D22/'Financial Statements'!D8*100</f>
        <v>20.913611278072235</v>
      </c>
    </row>
    <row r="78" spans="2:5" x14ac:dyDescent="0.45">
      <c r="B78" s="17" t="s">
        <v>97</v>
      </c>
    </row>
    <row r="79" spans="2:5" x14ac:dyDescent="0.45">
      <c r="B79" s="1" t="s">
        <v>93</v>
      </c>
      <c r="C79">
        <f>'Financial Statements'!B81/'List of Ratios'!C18</f>
        <v>6.85608352931263E-3</v>
      </c>
      <c r="D79">
        <f>'Financial Statements'!C81/'List of Ratios'!D18</f>
        <v>-3.9706237056382189E-2</v>
      </c>
      <c r="E79">
        <f>'Financial Statements'!D81/'List of Ratios'!E18</f>
        <v>-2.7797889946214317E-3</v>
      </c>
    </row>
    <row r="80" spans="2:5" x14ac:dyDescent="0.45">
      <c r="B80" s="1" t="s">
        <v>94</v>
      </c>
      <c r="C80">
        <f>('Financial Statements'!B47/'Financial Statements'!B8)*100</f>
        <v>55.119088677446179</v>
      </c>
      <c r="D80">
        <f>('Financial Statements'!C47/'Financial Statements'!C8)*100</f>
        <v>59.091294281020289</v>
      </c>
      <c r="E80">
        <f>('Financial Statements'!D47/'Financial Statements'!D8)*100</f>
        <v>65.633936214778785</v>
      </c>
    </row>
    <row r="81" spans="2:5" x14ac:dyDescent="0.45">
      <c r="B81" s="1" t="s">
        <v>95</v>
      </c>
      <c r="C81">
        <f>'Financial Statements'!B45/'Financial Statements'!B47*100</f>
        <v>19.377501725327811</v>
      </c>
      <c r="D81">
        <f>'Financial Statements'!C45/'Financial Statements'!C47*100</f>
        <v>18.245237456399249</v>
      </c>
      <c r="E81">
        <f>'Financial Statements'!D45/'Financial Statements'!D47*100</f>
        <v>20.405716664354102</v>
      </c>
    </row>
  </sheetData>
  <mergeCells count="1">
    <mergeCell ref="C2:E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Rachael Akiode</cp:lastModifiedBy>
  <dcterms:created xsi:type="dcterms:W3CDTF">2020-05-18T16:32:37Z</dcterms:created>
  <dcterms:modified xsi:type="dcterms:W3CDTF">2024-07-23T14:03:55Z</dcterms:modified>
</cp:coreProperties>
</file>