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3639a9f30c8a13b/Documents/"/>
    </mc:Choice>
  </mc:AlternateContent>
  <xr:revisionPtr revIDLastSave="0" documentId="8_{B0A0AE7D-0D37-4BC1-AC8F-533DEA80E15A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E26" i="3"/>
  <c r="D22" i="3"/>
  <c r="E22" i="3"/>
  <c r="D17" i="3"/>
  <c r="E17" i="3"/>
  <c r="C17" i="3"/>
  <c r="D51" i="3"/>
  <c r="E51" i="3"/>
  <c r="C51" i="3"/>
  <c r="D50" i="3"/>
  <c r="E50" i="3"/>
  <c r="C50" i="3"/>
  <c r="D49" i="3"/>
  <c r="E49" i="3"/>
  <c r="C49" i="3"/>
  <c r="D48" i="3"/>
  <c r="E48" i="3"/>
  <c r="C48" i="3"/>
  <c r="D47" i="3"/>
  <c r="E47" i="3"/>
  <c r="C47" i="3"/>
  <c r="D46" i="3"/>
  <c r="E46" i="3"/>
  <c r="C46" i="3"/>
  <c r="D45" i="3"/>
  <c r="E45" i="3"/>
  <c r="C45" i="3"/>
  <c r="D44" i="3"/>
  <c r="E44" i="3"/>
  <c r="C44" i="3"/>
  <c r="D43" i="3"/>
  <c r="E43" i="3"/>
  <c r="C43" i="3"/>
  <c r="D42" i="3"/>
  <c r="E42" i="3"/>
  <c r="C42" i="3"/>
  <c r="D41" i="3"/>
  <c r="E41" i="3"/>
  <c r="C41" i="3"/>
  <c r="D40" i="3"/>
  <c r="E40" i="3"/>
  <c r="C40" i="3"/>
  <c r="D37" i="3"/>
  <c r="E37" i="3"/>
  <c r="C37" i="3"/>
  <c r="D36" i="3"/>
  <c r="E36" i="3"/>
  <c r="C36" i="3"/>
  <c r="B8" i="2"/>
  <c r="D35" i="3"/>
  <c r="E35" i="3"/>
  <c r="C35" i="3"/>
  <c r="D34" i="3"/>
  <c r="E34" i="3"/>
  <c r="C34" i="3"/>
  <c r="D30" i="3"/>
  <c r="E30" i="3"/>
  <c r="C30" i="3"/>
  <c r="D29" i="3"/>
  <c r="E29" i="3"/>
  <c r="C29" i="3"/>
  <c r="D21" i="3"/>
  <c r="E21" i="3"/>
  <c r="D28" i="3"/>
  <c r="E28" i="3"/>
  <c r="C28" i="3"/>
  <c r="D27" i="3"/>
  <c r="E27" i="3"/>
  <c r="C27" i="3"/>
  <c r="C26" i="3"/>
  <c r="D25" i="3"/>
  <c r="E25" i="3"/>
  <c r="C25" i="3"/>
  <c r="C22" i="3"/>
  <c r="C21" i="3"/>
  <c r="D20" i="3"/>
  <c r="E20" i="3"/>
  <c r="C20" i="3"/>
  <c r="D18" i="3"/>
  <c r="D19" i="3" s="1"/>
  <c r="E18" i="3"/>
  <c r="E19" i="3"/>
  <c r="D14" i="3"/>
  <c r="E14" i="3"/>
  <c r="C14" i="3"/>
  <c r="D12" i="3"/>
  <c r="E12" i="3"/>
  <c r="C12" i="3"/>
  <c r="D11" i="3"/>
  <c r="E11" i="3"/>
  <c r="C11" i="3"/>
  <c r="D10" i="3"/>
  <c r="E10" i="3"/>
  <c r="C10" i="3"/>
  <c r="C9" i="3"/>
  <c r="D9" i="3"/>
  <c r="E9" i="3"/>
  <c r="D8" i="3"/>
  <c r="E8" i="3"/>
  <c r="C8" i="3"/>
  <c r="D7" i="3"/>
  <c r="E7" i="3"/>
  <c r="C7" i="3"/>
  <c r="D6" i="3"/>
  <c r="E6" i="3"/>
  <c r="D5" i="3"/>
  <c r="E5" i="3"/>
  <c r="C6" i="3"/>
  <c r="C5" i="3"/>
  <c r="D106" i="2"/>
  <c r="C106" i="2"/>
  <c r="B106" i="2"/>
  <c r="D100" i="2"/>
  <c r="C100" i="2"/>
  <c r="B100" i="2"/>
  <c r="D93" i="2"/>
  <c r="C93" i="2"/>
  <c r="B93" i="2"/>
  <c r="D76" i="2"/>
  <c r="C76" i="2"/>
  <c r="B76" i="2"/>
  <c r="D71" i="2"/>
  <c r="C71" i="2"/>
  <c r="B71" i="2"/>
  <c r="D61" i="2"/>
  <c r="D62" i="2" s="1"/>
  <c r="C61" i="2"/>
  <c r="C62" i="2" s="1"/>
  <c r="B61" i="2"/>
  <c r="D55" i="2"/>
  <c r="C55" i="2"/>
  <c r="B55" i="2"/>
  <c r="D48" i="2"/>
  <c r="C48" i="2"/>
  <c r="B48" i="2"/>
  <c r="D42" i="2"/>
  <c r="D49" i="2" s="1"/>
  <c r="C42" i="2"/>
  <c r="C49" i="2" s="1"/>
  <c r="B42" i="2"/>
  <c r="B49" i="2" s="1"/>
  <c r="D23" i="2"/>
  <c r="C23" i="2"/>
  <c r="B23" i="2"/>
  <c r="D18" i="2"/>
  <c r="C18" i="2"/>
  <c r="B18" i="2"/>
  <c r="D8" i="2"/>
  <c r="D19" i="2" s="1"/>
  <c r="D24" i="2" s="1"/>
  <c r="D27" i="2" s="1"/>
  <c r="C8" i="2"/>
  <c r="C19" i="2" s="1"/>
  <c r="C24" i="2" s="1"/>
  <c r="C27" i="2" s="1"/>
  <c r="B19" i="2"/>
  <c r="B24" i="2" s="1"/>
  <c r="B27" i="2" s="1"/>
  <c r="C18" i="3" l="1"/>
  <c r="C19" i="3" s="1"/>
  <c r="C72" i="2"/>
  <c r="B62" i="2"/>
  <c r="B72" i="2" s="1"/>
  <c r="D72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<sst xmlns="http://schemas.openxmlformats.org/spreadsheetml/2006/main" count="169" uniqueCount="163">
  <si>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</si>
  <si>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</si>
  <si>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</si>
  <si>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</si>
  <si>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</si>
  <si>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</si>
  <si>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</si>
  <si>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</si>
  <si>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</si>
  <si>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</si>
  <si>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</si>
  <si>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</si>
  <si>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</si>
  <si>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</si>
  <si>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</si>
  <si>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</si>
  <si>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</si>
  <si>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</si>
  <si>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</si>
  <si>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</si>
  <si>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</si>
  <si>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</si>
  <si>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</si>
  <si>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</si>
  <si>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</si>
  <si>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</si>
  <si>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</si>
  <si>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</si>
  <si>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</si>
  <si>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</si>
  <si>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</si>
  <si>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</si>
  <si>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</si>
  <si>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</si>
  <si>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</si>
  <si>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</si>
  <si>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</si>
  <si>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</si>
  <si>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</si>
  <si>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</si>
  <si>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</si>
  <si>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</si>
  <si>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</si>
  <si>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</si>
  <si>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</si>
  <si>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</si>
  <si>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</si>
  <si>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</si>
  <si>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</si>
  <si>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</si>
  <si>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</si>
  <si>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</si>
  <si>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</si>
  <si>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</si>
  <si>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</si>
  <si>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</si>
  <si>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</si>
  <si>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</si>
  <si>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</si>
  <si>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</si>
  <si>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</si>
  <si>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</si>
  <si>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</si>
  <si>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</si>
  <si>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</si>
  <si>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</si>
  <si>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</si>
  <si>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Provision for income taxes</t>
  </si>
  <si>
    <t>Net income</t>
  </si>
  <si>
    <t>Basic</t>
  </si>
  <si>
    <t>Diluted</t>
  </si>
  <si>
    <t>Cost of sales</t>
  </si>
  <si>
    <t xml:space="preserve">Fufillment </t>
  </si>
  <si>
    <t xml:space="preserve">Technology and Content </t>
  </si>
  <si>
    <t>Marketing</t>
  </si>
  <si>
    <t xml:space="preserve">General and administrative </t>
  </si>
  <si>
    <t xml:space="preserve">Other Operating expenses (income) net </t>
  </si>
  <si>
    <t>Operating Expenses:</t>
  </si>
  <si>
    <t xml:space="preserve">Interest income </t>
  </si>
  <si>
    <t>Interest expenses</t>
  </si>
  <si>
    <t>Other Income (expense) net</t>
  </si>
  <si>
    <t>Total non Operating income (expense)</t>
  </si>
  <si>
    <t xml:space="preserve">Income before Income Taxes </t>
  </si>
  <si>
    <t xml:space="preserve">Equity method investment activity, net of tax </t>
  </si>
  <si>
    <t>Basic earnings per share:</t>
  </si>
  <si>
    <t>Diluted earning pershare</t>
  </si>
  <si>
    <t>Weighted Average Shares used in computation of earnings per share:</t>
  </si>
  <si>
    <t>As at September,</t>
  </si>
  <si>
    <t>Current assets:</t>
  </si>
  <si>
    <t>Cash and cash equivalents</t>
  </si>
  <si>
    <t>Marketable securities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</si>
  <si>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</si>
  <si>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</si>
  <si>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</si>
  <si>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</si>
  <si>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</si>
  <si>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</si>
  <si>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</si>
  <si>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</si>
  <si>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</si>
  <si>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</si>
  <si>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</si>
  <si>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</si>
  <si>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Account receivable net and other</t>
  </si>
  <si>
    <t>Property and eqiptment net</t>
  </si>
  <si>
    <t>Goodwill</t>
  </si>
  <si>
    <t>Operating Leases</t>
  </si>
  <si>
    <t xml:space="preserve">Other Asset </t>
  </si>
  <si>
    <t xml:space="preserve">Accrued expenses and other </t>
  </si>
  <si>
    <t>Unearned revenue</t>
  </si>
  <si>
    <t xml:space="preserve">Long term lease liability </t>
  </si>
  <si>
    <t>Long term debt</t>
  </si>
  <si>
    <t>Other long term liabilities</t>
  </si>
  <si>
    <t>LIABILITIES AND STOCK HOLDERS EQUITY</t>
  </si>
  <si>
    <t>Preffered stock, $0.01 par value, authorised shares - 5000, Issued and outstanding shares 527 and 532</t>
  </si>
  <si>
    <t>Outstanding shares 503 and 509</t>
  </si>
  <si>
    <t>Treasury stock at cost</t>
  </si>
  <si>
    <t xml:space="preserve">Retained Earnings </t>
  </si>
  <si>
    <t>Total stockholders’ equity</t>
  </si>
  <si>
    <t>Total liabilities and stockholders’ equity</t>
  </si>
  <si>
    <t xml:space="preserve">Additional Paid in capital </t>
  </si>
  <si>
    <t>Accumulated other comprehensive income (loss)</t>
  </si>
  <si>
    <t>Cash, cash equivalents and restricted cash, beginning balances</t>
  </si>
  <si>
    <t>Operating activities:</t>
  </si>
  <si>
    <t>Changes in operating assets and liabilities:</t>
  </si>
  <si>
    <t>Investing activities:</t>
  </si>
  <si>
    <t>Proceeds from sales of marketable securities</t>
  </si>
  <si>
    <t>Cash generated by/(used in) investing activities</t>
  </si>
  <si>
    <t>Financing activities:</t>
  </si>
  <si>
    <t>Repurchases of common stock</t>
  </si>
  <si>
    <t>Repayments of term debt</t>
  </si>
  <si>
    <t>Increase/(Decrease) in cash, cash equivalents and restricted</t>
  </si>
  <si>
    <t>Supplemental cash flow disclosure:</t>
  </si>
  <si>
    <t>Adjustments to reconcile net income to cash generated by operating activities</t>
  </si>
  <si>
    <t>Depreciation and amortization of propety  and equiptment and capitalized content costs, operating lease asset and other.</t>
  </si>
  <si>
    <t>Stocked Based Compensation</t>
  </si>
  <si>
    <t xml:space="preserve">Other operating expense (income), net </t>
  </si>
  <si>
    <t xml:space="preserve">Accounts receivable, net and other </t>
  </si>
  <si>
    <t xml:space="preserve">Inventories  </t>
  </si>
  <si>
    <t xml:space="preserve">Account payable </t>
  </si>
  <si>
    <t xml:space="preserve">Net cash provided, used in Operating activities </t>
  </si>
  <si>
    <t>Other expense (income) net</t>
  </si>
  <si>
    <t xml:space="preserve">Deffered income taxes </t>
  </si>
  <si>
    <t xml:space="preserve">Purchases of property and equiptiment </t>
  </si>
  <si>
    <t>Proceeds from property and equiptmnent sales and incentive.</t>
  </si>
  <si>
    <t xml:space="preserve">Sales and Maturities of Marketable Securities. </t>
  </si>
  <si>
    <t xml:space="preserve">Purchase of marketable securities. </t>
  </si>
  <si>
    <t xml:space="preserve">Proceeds from long term debts and other </t>
  </si>
  <si>
    <t xml:space="preserve">Repayment of Long term debt and other </t>
  </si>
  <si>
    <t>Net Cash provided by (used in) financing activities</t>
  </si>
  <si>
    <t xml:space="preserve">Foreign currency effect on Cash, Cah equivalent and restricted cash </t>
  </si>
  <si>
    <t>Net Increase (Decrease) in cash, cash equivalent and restricted cash</t>
  </si>
  <si>
    <t xml:space="preserve">Cash paid for interest on long term debts </t>
  </si>
  <si>
    <t xml:space="preserve">Cash paid for operating leases </t>
  </si>
  <si>
    <t xml:space="preserve">Cash paid for interest on finance leases </t>
  </si>
  <si>
    <t>Cash paid for interest on financing obligation</t>
  </si>
  <si>
    <t xml:space="preserve">cash paid for income taxes, net of refund. </t>
  </si>
  <si>
    <t xml:space="preserve">Assets acquired under Operating </t>
  </si>
  <si>
    <t xml:space="preserve">Property and equiptment acquired under finance leases </t>
  </si>
  <si>
    <t xml:space="preserve">Property and equiptment acquired under build to suit arrangement </t>
  </si>
  <si>
    <t xml:space="preserve">EBITDA </t>
  </si>
  <si>
    <t>EBITDA Margin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</si>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</sst>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71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Font="1" applyBorder="1"/>
    <xf numFmtId="0" fontId="2" fillId="0" borderId="0" xfId="0" applyFont="1" applyBorder="1"/>
    <xf numFmtId="165" fontId="2" fillId="0" borderId="0" xfId="1" applyNumberFormat="1" applyFont="1" applyBorder="1"/>
    <xf numFmtId="0" fontId="0" fillId="0" borderId="0" xfId="0" applyFont="1" applyBorder="1"/>
    <xf numFmtId="165" fontId="1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3" xfId="1" applyNumberFormat="1" applyFont="1" applyBorder="1"/>
    <xf numFmtId="164" fontId="0" fillId="0" borderId="0" xfId="1" applyFont="1"/>
    <xf numFmtId="9" fontId="0" fillId="0" borderId="0" xfId="3" applyFont="1"/>
    <xf numFmtId="171" fontId="0" fillId="0" borderId="0" xfId="1" applyNumberFormat="1" applyFont="1"/>
    <xf numFmtId="164" fontId="0" fillId="0" borderId="0" xfId="1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9" sqref="A9"/>
    </sheetView>
  </sheetViews>
  <sheetFormatPr defaultRowHeight="14.25" x14ac:dyDescent="0.45"/>
  <cols>
    <col min="1" max="1" width="157.86328125" style="2" customWidth="1"/>
  </cols>
  <sheetData>
    <row r="1" spans="1:1" ht="23.25" x14ac:dyDescent="0.7">
      <c r="A1" s="3" t="s">
        <v>0</v>
      </c>
    </row>
    <row r="3" spans="1:1" x14ac:dyDescent="0.45">
      <c r="A3" s="2" t="s">
        <v>58</v>
      </c>
    </row>
    <row r="4" spans="1:1" x14ac:dyDescent="0.45">
      <c r="A4" s="5" t="s">
        <v>5</v>
      </c>
    </row>
    <row r="5" spans="1:1" x14ac:dyDescent="0.45">
      <c r="A5" s="6" t="s">
        <v>1</v>
      </c>
    </row>
    <row r="7" spans="1:1" x14ac:dyDescent="0.45">
      <c r="A7" s="2" t="s">
        <v>56</v>
      </c>
    </row>
    <row r="8" spans="1:1" x14ac:dyDescent="0.45">
      <c r="A8" s="2" t="s">
        <v>57</v>
      </c>
    </row>
    <row r="9" spans="1:1" x14ac:dyDescent="0.45">
      <c r="A9" s="2" t="s">
        <v>2</v>
      </c>
    </row>
    <row r="10" spans="1:1" x14ac:dyDescent="0.45">
      <c r="A10" s="2" t="s">
        <v>6</v>
      </c>
    </row>
    <row r="11" spans="1:1" x14ac:dyDescent="0.45">
      <c r="A11" s="2" t="s">
        <v>4</v>
      </c>
    </row>
    <row r="13" spans="1:1" x14ac:dyDescent="0.45">
      <c r="A13" s="4" t="s">
        <v>3</v>
      </c>
    </row>
    <row r="14" spans="1:1" x14ac:dyDescent="0.45">
      <c r="A14" s="2" t="s">
        <v>7</v>
      </c>
    </row>
    <row r="15" spans="1:1" x14ac:dyDescent="0.4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17" workbookViewId="0">
      <selection activeCell="A54" sqref="A54"/>
    </sheetView>
  </sheetViews>
  <sheetFormatPr defaultRowHeight="14.25" x14ac:dyDescent="0.45"/>
  <cols>
    <col min="1" max="1" width="59" customWidth="1"/>
    <col min="2" max="3" width="11.53125" bestFit="1" customWidth="1"/>
    <col min="4" max="4" width="11.6640625" bestFit="1" customWidth="1"/>
  </cols>
  <sheetData>
    <row r="1" spans="1:10" ht="60" customHeight="1" x14ac:dyDescent="0.45">
      <c r="A1" s="7" t="s">
        <v>53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45">
      <c r="A2" s="25" t="s">
        <v>10</v>
      </c>
      <c r="B2" s="25"/>
      <c r="C2" s="25"/>
      <c r="D2" s="25"/>
    </row>
    <row r="3" spans="1:10" x14ac:dyDescent="0.45">
      <c r="B3" s="24" t="s">
        <v>59</v>
      </c>
      <c r="C3" s="24"/>
      <c r="D3" s="24"/>
    </row>
    <row r="4" spans="1:10" x14ac:dyDescent="0.45">
      <c r="B4" s="9">
        <v>2019</v>
      </c>
      <c r="C4" s="9">
        <v>2018</v>
      </c>
      <c r="D4" s="9">
        <v>2017</v>
      </c>
    </row>
    <row r="5" spans="1:10" x14ac:dyDescent="0.45">
      <c r="A5" t="s">
        <v>60</v>
      </c>
    </row>
    <row r="6" spans="1:10" x14ac:dyDescent="0.45">
      <c r="A6" s="1" t="s">
        <v>61</v>
      </c>
      <c r="B6" s="10">
        <v>160408</v>
      </c>
      <c r="C6" s="10">
        <v>141915</v>
      </c>
      <c r="D6" s="10">
        <v>118573</v>
      </c>
    </row>
    <row r="7" spans="1:10" x14ac:dyDescent="0.45">
      <c r="A7" s="1" t="s">
        <v>62</v>
      </c>
      <c r="B7" s="10">
        <v>120114</v>
      </c>
      <c r="C7" s="10">
        <v>90972</v>
      </c>
      <c r="D7" s="10">
        <v>59293</v>
      </c>
    </row>
    <row r="8" spans="1:10" x14ac:dyDescent="0.45">
      <c r="A8" s="11" t="s">
        <v>63</v>
      </c>
      <c r="B8" s="12">
        <f>+B6+B7</f>
        <v>280522</v>
      </c>
      <c r="C8" s="12">
        <f t="shared" ref="C8:D8" si="0">+C6+C7</f>
        <v>232887</v>
      </c>
      <c r="D8" s="12">
        <f t="shared" si="0"/>
        <v>177866</v>
      </c>
    </row>
    <row r="9" spans="1:10" x14ac:dyDescent="0.45">
      <c r="A9" t="s">
        <v>71</v>
      </c>
      <c r="B9" s="10">
        <v>165536</v>
      </c>
      <c r="C9" s="10">
        <v>139156</v>
      </c>
      <c r="D9" s="10">
        <v>111934</v>
      </c>
    </row>
    <row r="10" spans="1:10" x14ac:dyDescent="0.45">
      <c r="A10" s="26" t="s">
        <v>77</v>
      </c>
      <c r="B10" s="12"/>
      <c r="C10" s="12"/>
      <c r="D10" s="12"/>
    </row>
    <row r="11" spans="1:10" x14ac:dyDescent="0.45">
      <c r="A11" s="11" t="s">
        <v>71</v>
      </c>
      <c r="B11" s="12">
        <v>111934</v>
      </c>
      <c r="C11" s="12">
        <v>139156</v>
      </c>
      <c r="D11" s="12">
        <v>165536</v>
      </c>
    </row>
    <row r="12" spans="1:10" x14ac:dyDescent="0.45">
      <c r="A12" t="s">
        <v>64</v>
      </c>
      <c r="B12" s="10"/>
      <c r="C12" s="10"/>
      <c r="D12" s="10"/>
    </row>
    <row r="13" spans="1:10" x14ac:dyDescent="0.45">
      <c r="A13" s="1" t="s">
        <v>72</v>
      </c>
      <c r="B13" s="10">
        <v>40232</v>
      </c>
      <c r="C13" s="10">
        <v>34027</v>
      </c>
      <c r="D13" s="10">
        <v>25249</v>
      </c>
    </row>
    <row r="14" spans="1:10" x14ac:dyDescent="0.45">
      <c r="A14" s="1" t="s">
        <v>73</v>
      </c>
      <c r="B14" s="10">
        <v>35931</v>
      </c>
      <c r="C14" s="10">
        <v>28837</v>
      </c>
      <c r="D14" s="10">
        <v>22620</v>
      </c>
    </row>
    <row r="15" spans="1:10" x14ac:dyDescent="0.45">
      <c r="A15" s="1" t="s">
        <v>74</v>
      </c>
      <c r="B15" s="10">
        <v>18878</v>
      </c>
      <c r="C15" s="10">
        <v>13814</v>
      </c>
      <c r="D15" s="10">
        <v>10069</v>
      </c>
    </row>
    <row r="16" spans="1:10" x14ac:dyDescent="0.45">
      <c r="A16" s="1" t="s">
        <v>75</v>
      </c>
      <c r="B16" s="10">
        <v>5203</v>
      </c>
      <c r="C16" s="10">
        <v>4336</v>
      </c>
      <c r="D16" s="10">
        <v>3674</v>
      </c>
    </row>
    <row r="17" spans="1:5" x14ac:dyDescent="0.45">
      <c r="A17" s="1" t="s">
        <v>76</v>
      </c>
      <c r="B17" s="10">
        <v>201</v>
      </c>
      <c r="C17" s="10">
        <v>296</v>
      </c>
      <c r="D17" s="10">
        <v>214</v>
      </c>
    </row>
    <row r="18" spans="1:5" x14ac:dyDescent="0.45">
      <c r="A18" s="11" t="s">
        <v>65</v>
      </c>
      <c r="B18" s="12">
        <f>B9+B13+B14+B15+B16+B17</f>
        <v>265981</v>
      </c>
      <c r="C18" s="12">
        <f>C9+C13+C14+C15+C16+C17</f>
        <v>220466</v>
      </c>
      <c r="D18" s="12">
        <f>D9+D13+D14+D15+D16+D17</f>
        <v>173760</v>
      </c>
    </row>
    <row r="19" spans="1:5" x14ac:dyDescent="0.45">
      <c r="A19" s="11" t="s">
        <v>66</v>
      </c>
      <c r="B19" s="12">
        <f>B8-B18</f>
        <v>14541</v>
      </c>
      <c r="C19" s="12">
        <f>C8-C18</f>
        <v>12421</v>
      </c>
      <c r="D19" s="12">
        <f>D8-D18</f>
        <v>4106</v>
      </c>
      <c r="E19" s="9"/>
    </row>
    <row r="20" spans="1:5" x14ac:dyDescent="0.45">
      <c r="A20" t="s">
        <v>78</v>
      </c>
      <c r="B20" s="10">
        <v>832</v>
      </c>
      <c r="C20" s="10">
        <v>440</v>
      </c>
      <c r="D20" s="10">
        <v>202</v>
      </c>
    </row>
    <row r="21" spans="1:5" x14ac:dyDescent="0.45">
      <c r="A21" t="s">
        <v>79</v>
      </c>
      <c r="B21" s="10">
        <v>-1600</v>
      </c>
      <c r="C21" s="10">
        <v>-1417</v>
      </c>
      <c r="D21" s="10">
        <v>-848</v>
      </c>
    </row>
    <row r="22" spans="1:5" x14ac:dyDescent="0.45">
      <c r="A22" t="s">
        <v>80</v>
      </c>
      <c r="B22" s="10">
        <v>203</v>
      </c>
      <c r="C22" s="10">
        <v>-183</v>
      </c>
      <c r="D22" s="10">
        <v>346</v>
      </c>
    </row>
    <row r="23" spans="1:5" x14ac:dyDescent="0.45">
      <c r="A23" s="11" t="s">
        <v>81</v>
      </c>
      <c r="B23" s="12">
        <f>B20+B21+B22</f>
        <v>-565</v>
      </c>
      <c r="C23" s="12">
        <f>C20+C21+C22</f>
        <v>-1160</v>
      </c>
      <c r="D23" s="12">
        <f>D20+D21+D22</f>
        <v>-300</v>
      </c>
    </row>
    <row r="24" spans="1:5" x14ac:dyDescent="0.45">
      <c r="A24" s="29" t="s">
        <v>82</v>
      </c>
      <c r="B24" s="30">
        <f>B19+B20+B21+B22</f>
        <v>13976</v>
      </c>
      <c r="C24" s="30">
        <f t="shared" ref="C24:D24" si="1">C19+C20+C21+C22</f>
        <v>11261</v>
      </c>
      <c r="D24" s="30">
        <f t="shared" si="1"/>
        <v>3806</v>
      </c>
    </row>
    <row r="25" spans="1:5" x14ac:dyDescent="0.45">
      <c r="A25" t="s">
        <v>67</v>
      </c>
      <c r="B25" s="10">
        <v>-2374</v>
      </c>
      <c r="C25" s="10">
        <v>-1197</v>
      </c>
      <c r="D25" s="10">
        <v>-769</v>
      </c>
    </row>
    <row r="26" spans="1:5" x14ac:dyDescent="0.45">
      <c r="A26" t="s">
        <v>83</v>
      </c>
      <c r="B26" s="10">
        <v>-14</v>
      </c>
      <c r="C26" s="10">
        <v>9</v>
      </c>
      <c r="D26" s="10">
        <v>-4</v>
      </c>
    </row>
    <row r="27" spans="1:5" ht="14.65" thickBot="1" x14ac:dyDescent="0.5">
      <c r="A27" s="13" t="s">
        <v>68</v>
      </c>
      <c r="B27" s="14">
        <f>B24+B25+B26</f>
        <v>11588</v>
      </c>
      <c r="C27" s="14">
        <f t="shared" ref="C27:D27" si="2">C24+C25+C26</f>
        <v>10073</v>
      </c>
      <c r="D27" s="14">
        <f t="shared" si="2"/>
        <v>3033</v>
      </c>
    </row>
    <row r="28" spans="1:5" ht="14.65" thickTop="1" x14ac:dyDescent="0.45">
      <c r="A28" t="s">
        <v>84</v>
      </c>
      <c r="B28">
        <v>23.46</v>
      </c>
      <c r="C28">
        <v>20.68</v>
      </c>
      <c r="D28">
        <v>6.32</v>
      </c>
    </row>
    <row r="29" spans="1:5" x14ac:dyDescent="0.45">
      <c r="A29" s="1" t="s">
        <v>85</v>
      </c>
      <c r="B29" s="15">
        <v>23.01</v>
      </c>
      <c r="C29" s="15">
        <v>20.14</v>
      </c>
      <c r="D29" s="15">
        <v>6.15</v>
      </c>
    </row>
    <row r="30" spans="1:5" x14ac:dyDescent="0.45">
      <c r="A30" t="s">
        <v>86</v>
      </c>
    </row>
    <row r="31" spans="1:5" x14ac:dyDescent="0.45">
      <c r="A31" s="1" t="s">
        <v>69</v>
      </c>
      <c r="B31" s="16">
        <v>494</v>
      </c>
      <c r="C31" s="16">
        <v>487</v>
      </c>
      <c r="D31" s="16">
        <v>480</v>
      </c>
    </row>
    <row r="32" spans="1:5" x14ac:dyDescent="0.45">
      <c r="A32" s="1" t="s">
        <v>70</v>
      </c>
      <c r="B32" s="16">
        <v>504</v>
      </c>
      <c r="C32" s="16">
        <v>500</v>
      </c>
      <c r="D32" s="16">
        <v>493</v>
      </c>
    </row>
    <row r="34" spans="1:4" x14ac:dyDescent="0.45">
      <c r="A34" s="25" t="s">
        <v>12</v>
      </c>
      <c r="B34" s="25"/>
      <c r="C34" s="25"/>
      <c r="D34" s="25"/>
    </row>
    <row r="35" spans="1:4" x14ac:dyDescent="0.45">
      <c r="B35" s="24" t="s">
        <v>87</v>
      </c>
      <c r="C35" s="24"/>
      <c r="D35" s="24"/>
    </row>
    <row r="36" spans="1:4" x14ac:dyDescent="0.45">
      <c r="B36" s="9">
        <v>2019</v>
      </c>
      <c r="C36" s="9">
        <v>2018</v>
      </c>
      <c r="D36" s="9">
        <v>2017</v>
      </c>
    </row>
    <row r="37" spans="1:4" x14ac:dyDescent="0.45">
      <c r="A37" t="s">
        <v>88</v>
      </c>
    </row>
    <row r="38" spans="1:4" x14ac:dyDescent="0.45">
      <c r="A38" s="1" t="s">
        <v>89</v>
      </c>
      <c r="B38" s="10">
        <v>36092</v>
      </c>
      <c r="C38" s="10">
        <v>31750</v>
      </c>
      <c r="D38" s="10">
        <v>20522</v>
      </c>
    </row>
    <row r="39" spans="1:4" x14ac:dyDescent="0.45">
      <c r="A39" s="1" t="s">
        <v>90</v>
      </c>
      <c r="B39" s="10">
        <v>18929</v>
      </c>
      <c r="C39" s="10">
        <v>9500</v>
      </c>
      <c r="D39" s="10">
        <v>10464</v>
      </c>
    </row>
    <row r="40" spans="1:4" x14ac:dyDescent="0.45">
      <c r="A40" s="1" t="s">
        <v>91</v>
      </c>
      <c r="B40" s="10">
        <v>20497</v>
      </c>
      <c r="C40" s="10">
        <v>17174</v>
      </c>
      <c r="D40" s="10">
        <v>16047</v>
      </c>
    </row>
    <row r="41" spans="1:4" x14ac:dyDescent="0.45">
      <c r="A41" s="1" t="s">
        <v>103</v>
      </c>
      <c r="B41" s="10">
        <v>20816</v>
      </c>
      <c r="C41" s="10">
        <v>16677</v>
      </c>
      <c r="D41" s="10">
        <v>13164</v>
      </c>
    </row>
    <row r="42" spans="1:4" x14ac:dyDescent="0.45">
      <c r="A42" s="11" t="s">
        <v>92</v>
      </c>
      <c r="B42" s="12">
        <f>+SUM(B38:B41)</f>
        <v>96334</v>
      </c>
      <c r="C42" s="12">
        <f>+SUM(C38:C41)</f>
        <v>75101</v>
      </c>
      <c r="D42" s="12">
        <f>+SUM(D38:D41)</f>
        <v>60197</v>
      </c>
    </row>
    <row r="43" spans="1:4" x14ac:dyDescent="0.45">
      <c r="A43" t="s">
        <v>93</v>
      </c>
      <c r="B43" s="10"/>
      <c r="C43" s="10"/>
      <c r="D43" s="10"/>
    </row>
    <row r="44" spans="1:4" x14ac:dyDescent="0.45">
      <c r="A44" s="1" t="s">
        <v>104</v>
      </c>
      <c r="B44" s="10">
        <v>72705</v>
      </c>
      <c r="C44" s="10">
        <v>61797</v>
      </c>
      <c r="D44" s="10">
        <v>48866</v>
      </c>
    </row>
    <row r="45" spans="1:4" x14ac:dyDescent="0.45">
      <c r="A45" s="1" t="s">
        <v>106</v>
      </c>
      <c r="B45" s="10">
        <v>25141</v>
      </c>
      <c r="C45" s="10"/>
      <c r="D45" s="10"/>
    </row>
    <row r="46" spans="1:4" x14ac:dyDescent="0.45">
      <c r="A46" s="1" t="s">
        <v>105</v>
      </c>
      <c r="B46" s="10">
        <v>14754</v>
      </c>
      <c r="C46" s="10">
        <v>14548</v>
      </c>
      <c r="D46" s="10">
        <v>13350</v>
      </c>
    </row>
    <row r="47" spans="1:4" x14ac:dyDescent="0.45">
      <c r="A47" s="1" t="s">
        <v>107</v>
      </c>
      <c r="B47" s="10">
        <v>16314</v>
      </c>
      <c r="C47" s="10">
        <v>11202</v>
      </c>
      <c r="D47" s="10">
        <v>8897</v>
      </c>
    </row>
    <row r="48" spans="1:4" x14ac:dyDescent="0.45">
      <c r="A48" s="11" t="s">
        <v>94</v>
      </c>
      <c r="B48" s="12">
        <f>+SUM(B44:B47)</f>
        <v>128914</v>
      </c>
      <c r="C48" s="12">
        <f t="shared" ref="C48:D48" si="3">+SUM(C44:C47)</f>
        <v>87547</v>
      </c>
      <c r="D48" s="12">
        <f t="shared" si="3"/>
        <v>71113</v>
      </c>
    </row>
    <row r="49" spans="1:4" ht="14.65" thickBot="1" x14ac:dyDescent="0.5">
      <c r="A49" s="13" t="s">
        <v>95</v>
      </c>
      <c r="B49" s="14">
        <f>+B42+B48</f>
        <v>225248</v>
      </c>
      <c r="C49" s="14">
        <f t="shared" ref="C49:D49" si="4">+C42+C48</f>
        <v>162648</v>
      </c>
      <c r="D49" s="14">
        <f t="shared" si="4"/>
        <v>131310</v>
      </c>
    </row>
    <row r="50" spans="1:4" ht="14.65" thickTop="1" x14ac:dyDescent="0.45">
      <c r="A50" s="9" t="s">
        <v>113</v>
      </c>
    </row>
    <row r="51" spans="1:4" x14ac:dyDescent="0.45">
      <c r="A51" t="s">
        <v>96</v>
      </c>
    </row>
    <row r="52" spans="1:4" x14ac:dyDescent="0.45">
      <c r="A52" s="1" t="s">
        <v>97</v>
      </c>
      <c r="B52" s="10">
        <v>47183</v>
      </c>
      <c r="C52" s="10">
        <v>38192</v>
      </c>
      <c r="D52" s="10">
        <v>34616</v>
      </c>
    </row>
    <row r="53" spans="1:4" x14ac:dyDescent="0.45">
      <c r="A53" s="1" t="s">
        <v>108</v>
      </c>
      <c r="B53" s="10">
        <v>32439</v>
      </c>
      <c r="C53" s="10">
        <v>23663</v>
      </c>
      <c r="D53" s="10">
        <v>18170</v>
      </c>
    </row>
    <row r="54" spans="1:4" x14ac:dyDescent="0.45">
      <c r="A54" s="1" t="s">
        <v>109</v>
      </c>
      <c r="B54" s="10">
        <v>8190</v>
      </c>
      <c r="C54" s="10">
        <v>6536</v>
      </c>
      <c r="D54" s="10">
        <v>5097</v>
      </c>
    </row>
    <row r="55" spans="1:4" x14ac:dyDescent="0.45">
      <c r="A55" s="11" t="s">
        <v>98</v>
      </c>
      <c r="B55" s="12">
        <f>+SUM(B52:B54)</f>
        <v>87812</v>
      </c>
      <c r="C55" s="12">
        <f>+SUM(C52:C54)</f>
        <v>68391</v>
      </c>
      <c r="D55" s="12">
        <f>+SUM(D52:D54)</f>
        <v>57883</v>
      </c>
    </row>
    <row r="56" spans="1:4" x14ac:dyDescent="0.45">
      <c r="A56" s="27"/>
      <c r="B56" s="28"/>
      <c r="C56" s="28"/>
      <c r="D56" s="28"/>
    </row>
    <row r="57" spans="1:4" x14ac:dyDescent="0.45">
      <c r="A57" t="s">
        <v>99</v>
      </c>
      <c r="B57" s="10"/>
      <c r="C57" s="10"/>
      <c r="D57" s="10"/>
    </row>
    <row r="58" spans="1:4" x14ac:dyDescent="0.45">
      <c r="A58" s="1" t="s">
        <v>110</v>
      </c>
      <c r="B58" s="10">
        <v>39791</v>
      </c>
      <c r="C58" s="10"/>
      <c r="D58" s="10"/>
    </row>
    <row r="59" spans="1:4" x14ac:dyDescent="0.45">
      <c r="A59" s="1" t="s">
        <v>111</v>
      </c>
      <c r="B59" s="10">
        <v>23414</v>
      </c>
      <c r="C59" s="10">
        <v>23495</v>
      </c>
      <c r="D59" s="10">
        <v>24743</v>
      </c>
    </row>
    <row r="60" spans="1:4" x14ac:dyDescent="0.45">
      <c r="A60" s="1" t="s">
        <v>112</v>
      </c>
      <c r="B60" s="10">
        <v>12171</v>
      </c>
      <c r="C60" s="10">
        <v>27213</v>
      </c>
      <c r="D60" s="10">
        <v>20975</v>
      </c>
    </row>
    <row r="61" spans="1:4" x14ac:dyDescent="0.45">
      <c r="A61" s="31" t="s">
        <v>100</v>
      </c>
      <c r="B61" s="32">
        <f>+B58+B59+B60</f>
        <v>75376</v>
      </c>
      <c r="C61" s="32">
        <f t="shared" ref="C61:D61" si="5">+C59+C60</f>
        <v>50708</v>
      </c>
      <c r="D61" s="32">
        <f t="shared" si="5"/>
        <v>45718</v>
      </c>
    </row>
    <row r="62" spans="1:4" x14ac:dyDescent="0.45">
      <c r="A62" s="11" t="s">
        <v>101</v>
      </c>
      <c r="B62" s="12">
        <f>+B55+B61</f>
        <v>163188</v>
      </c>
      <c r="C62" s="12">
        <f>+C55+C61</f>
        <v>119099</v>
      </c>
      <c r="D62" s="12">
        <f>+D55+D61</f>
        <v>103601</v>
      </c>
    </row>
    <row r="63" spans="1:4" x14ac:dyDescent="0.45">
      <c r="B63" s="10"/>
      <c r="C63" s="10"/>
      <c r="D63" s="10"/>
    </row>
    <row r="64" spans="1:4" x14ac:dyDescent="0.45">
      <c r="A64" t="s">
        <v>102</v>
      </c>
      <c r="B64" s="10"/>
      <c r="C64" s="10"/>
      <c r="D64" s="10"/>
    </row>
    <row r="65" spans="1:4" x14ac:dyDescent="0.45">
      <c r="A65" s="1" t="s">
        <v>114</v>
      </c>
      <c r="B65" s="10"/>
      <c r="C65" s="10"/>
      <c r="D65" s="10"/>
    </row>
    <row r="66" spans="1:4" x14ac:dyDescent="0.45">
      <c r="A66" s="1" t="s">
        <v>115</v>
      </c>
      <c r="B66" s="10">
        <v>5</v>
      </c>
      <c r="C66" s="10">
        <v>5</v>
      </c>
      <c r="D66" s="10">
        <v>5</v>
      </c>
    </row>
    <row r="67" spans="1:4" x14ac:dyDescent="0.45">
      <c r="A67" s="1" t="s">
        <v>116</v>
      </c>
      <c r="B67" s="10">
        <v>-1837</v>
      </c>
      <c r="C67" s="10">
        <v>-1837</v>
      </c>
      <c r="D67" s="10">
        <v>-1837</v>
      </c>
    </row>
    <row r="68" spans="1:4" x14ac:dyDescent="0.45">
      <c r="A68" s="1" t="s">
        <v>117</v>
      </c>
      <c r="B68" s="10">
        <v>31220</v>
      </c>
      <c r="C68" s="10">
        <v>19625</v>
      </c>
      <c r="D68" s="10">
        <v>8636</v>
      </c>
    </row>
    <row r="69" spans="1:4" x14ac:dyDescent="0.45">
      <c r="A69" s="1" t="s">
        <v>120</v>
      </c>
      <c r="B69" s="10">
        <v>33658</v>
      </c>
      <c r="C69" s="10">
        <v>26791</v>
      </c>
      <c r="D69" s="10">
        <v>21389</v>
      </c>
    </row>
    <row r="70" spans="1:4" x14ac:dyDescent="0.45">
      <c r="A70" s="1" t="s">
        <v>121</v>
      </c>
      <c r="B70" s="10">
        <v>-986</v>
      </c>
      <c r="C70" s="10">
        <v>-1035</v>
      </c>
      <c r="D70" s="10">
        <v>-484</v>
      </c>
    </row>
    <row r="71" spans="1:4" x14ac:dyDescent="0.45">
      <c r="A71" s="11" t="s">
        <v>118</v>
      </c>
      <c r="B71" s="12">
        <f>+SUM(B65:B70)</f>
        <v>62060</v>
      </c>
      <c r="C71" s="12">
        <f>+SUM(C65:C68)</f>
        <v>17793</v>
      </c>
      <c r="D71" s="12">
        <f>+SUM(D65:D70)</f>
        <v>27709</v>
      </c>
    </row>
    <row r="72" spans="1:4" ht="14.65" thickBot="1" x14ac:dyDescent="0.5">
      <c r="A72" s="13" t="s">
        <v>119</v>
      </c>
      <c r="B72" s="14">
        <f>+B71+B62</f>
        <v>225248</v>
      </c>
      <c r="C72" s="14">
        <f>+C71+C62</f>
        <v>136892</v>
      </c>
      <c r="D72" s="14">
        <f>+D71+D62</f>
        <v>131310</v>
      </c>
    </row>
    <row r="73" spans="1:4" ht="14.65" thickTop="1" x14ac:dyDescent="0.45"/>
    <row r="74" spans="1:4" x14ac:dyDescent="0.45">
      <c r="A74" s="25" t="s">
        <v>13</v>
      </c>
      <c r="B74" s="25"/>
      <c r="C74" s="25"/>
      <c r="D74" s="25"/>
    </row>
    <row r="75" spans="1:4" x14ac:dyDescent="0.45">
      <c r="B75" s="24" t="s">
        <v>59</v>
      </c>
      <c r="C75" s="24"/>
      <c r="D75" s="24"/>
    </row>
    <row r="76" spans="1:4" x14ac:dyDescent="0.45">
      <c r="B76" s="9">
        <f>+B36</f>
        <v>2019</v>
      </c>
      <c r="C76" s="9">
        <f t="shared" ref="C76:D76" si="6">+C36</f>
        <v>2018</v>
      </c>
      <c r="D76" s="9">
        <f t="shared" si="6"/>
        <v>2017</v>
      </c>
    </row>
    <row r="78" spans="1:4" x14ac:dyDescent="0.45">
      <c r="A78" s="9" t="s">
        <v>122</v>
      </c>
      <c r="B78" s="17">
        <v>32173</v>
      </c>
      <c r="C78" s="17">
        <v>21856</v>
      </c>
      <c r="D78" s="17">
        <v>19934</v>
      </c>
    </row>
    <row r="79" spans="1:4" x14ac:dyDescent="0.45">
      <c r="A79" t="s">
        <v>123</v>
      </c>
      <c r="B79" s="10"/>
      <c r="C79" s="10"/>
      <c r="D79" s="10"/>
    </row>
    <row r="80" spans="1:4" x14ac:dyDescent="0.45">
      <c r="A80" s="18" t="s">
        <v>68</v>
      </c>
      <c r="B80" s="17">
        <v>11588</v>
      </c>
      <c r="C80" s="17">
        <v>10073</v>
      </c>
      <c r="D80" s="17">
        <v>3033</v>
      </c>
    </row>
    <row r="81" spans="1:4" x14ac:dyDescent="0.45">
      <c r="A81" s="1" t="s">
        <v>133</v>
      </c>
      <c r="B81" s="10"/>
      <c r="C81" s="10"/>
      <c r="D81" s="10"/>
    </row>
    <row r="82" spans="1:4" x14ac:dyDescent="0.45">
      <c r="A82" s="19" t="s">
        <v>134</v>
      </c>
      <c r="B82" s="10">
        <v>21789</v>
      </c>
      <c r="C82" s="10">
        <v>15341</v>
      </c>
      <c r="D82" s="10">
        <v>11478</v>
      </c>
    </row>
    <row r="83" spans="1:4" x14ac:dyDescent="0.45">
      <c r="A83" s="19" t="s">
        <v>135</v>
      </c>
      <c r="B83" s="10">
        <v>6864</v>
      </c>
      <c r="C83" s="10">
        <v>5418</v>
      </c>
      <c r="D83" s="10">
        <v>4215</v>
      </c>
    </row>
    <row r="84" spans="1:4" x14ac:dyDescent="0.45">
      <c r="A84" s="19" t="s">
        <v>136</v>
      </c>
      <c r="B84" s="10">
        <v>164</v>
      </c>
      <c r="C84" s="10">
        <v>274</v>
      </c>
      <c r="D84" s="10">
        <v>202</v>
      </c>
    </row>
    <row r="85" spans="1:4" x14ac:dyDescent="0.45">
      <c r="A85" s="19" t="s">
        <v>141</v>
      </c>
      <c r="B85" s="10">
        <v>-249</v>
      </c>
      <c r="C85" s="10">
        <v>219</v>
      </c>
      <c r="D85" s="10">
        <v>-292</v>
      </c>
    </row>
    <row r="86" spans="1:4" x14ac:dyDescent="0.45">
      <c r="A86" s="19" t="s">
        <v>142</v>
      </c>
      <c r="B86" s="10">
        <v>796</v>
      </c>
      <c r="C86" s="10">
        <v>441</v>
      </c>
      <c r="D86" s="10">
        <v>-29</v>
      </c>
    </row>
    <row r="87" spans="1:4" x14ac:dyDescent="0.45">
      <c r="A87" t="s">
        <v>124</v>
      </c>
      <c r="B87" s="10"/>
      <c r="C87" s="10"/>
      <c r="D87" s="10"/>
    </row>
    <row r="88" spans="1:4" x14ac:dyDescent="0.45">
      <c r="A88" s="1" t="s">
        <v>138</v>
      </c>
      <c r="B88" s="10">
        <v>-3278</v>
      </c>
      <c r="C88" s="10">
        <v>-1314</v>
      </c>
      <c r="D88" s="10">
        <v>-3583</v>
      </c>
    </row>
    <row r="89" spans="1:4" x14ac:dyDescent="0.45">
      <c r="A89" s="1" t="s">
        <v>137</v>
      </c>
      <c r="B89" s="10">
        <v>-7681</v>
      </c>
      <c r="C89" s="10">
        <v>-4615</v>
      </c>
      <c r="D89" s="10">
        <v>-4780</v>
      </c>
    </row>
    <row r="90" spans="1:4" x14ac:dyDescent="0.45">
      <c r="A90" s="1" t="s">
        <v>139</v>
      </c>
      <c r="B90" s="10">
        <v>8193</v>
      </c>
      <c r="C90" s="10">
        <v>3263</v>
      </c>
      <c r="D90" s="10">
        <v>7100</v>
      </c>
    </row>
    <row r="91" spans="1:4" x14ac:dyDescent="0.45">
      <c r="A91" s="1" t="s">
        <v>108</v>
      </c>
      <c r="B91" s="10">
        <v>-1383</v>
      </c>
      <c r="C91" s="10">
        <v>472</v>
      </c>
      <c r="D91" s="10">
        <v>283</v>
      </c>
    </row>
    <row r="92" spans="1:4" x14ac:dyDescent="0.45">
      <c r="A92" s="1" t="s">
        <v>109</v>
      </c>
      <c r="B92" s="10">
        <v>1711</v>
      </c>
      <c r="C92" s="10">
        <v>1151</v>
      </c>
      <c r="D92" s="10">
        <v>738</v>
      </c>
    </row>
    <row r="93" spans="1:4" x14ac:dyDescent="0.45">
      <c r="A93" s="11" t="s">
        <v>140</v>
      </c>
      <c r="B93" s="12">
        <f>+SUM(B79:B92)</f>
        <v>38514</v>
      </c>
      <c r="C93" s="12">
        <f>+SUM(C79:C92)</f>
        <v>30723</v>
      </c>
      <c r="D93" s="12">
        <f>+SUM(D79:D92)</f>
        <v>18365</v>
      </c>
    </row>
    <row r="94" spans="1:4" x14ac:dyDescent="0.45">
      <c r="A94" s="9" t="s">
        <v>125</v>
      </c>
      <c r="B94" s="10"/>
      <c r="C94" s="10"/>
      <c r="D94" s="10"/>
    </row>
    <row r="95" spans="1:4" x14ac:dyDescent="0.45">
      <c r="A95" s="1" t="s">
        <v>143</v>
      </c>
      <c r="B95" s="10">
        <v>-16861</v>
      </c>
      <c r="C95" s="10">
        <v>-13427</v>
      </c>
      <c r="D95" s="10">
        <v>-11955</v>
      </c>
    </row>
    <row r="96" spans="1:4" x14ac:dyDescent="0.45">
      <c r="A96" s="1" t="s">
        <v>144</v>
      </c>
      <c r="B96" s="10">
        <v>4172</v>
      </c>
      <c r="C96" s="10">
        <v>2104</v>
      </c>
      <c r="D96" s="10">
        <v>1897</v>
      </c>
    </row>
    <row r="97" spans="1:5" x14ac:dyDescent="0.45">
      <c r="A97" s="1" t="s">
        <v>126</v>
      </c>
      <c r="B97" s="10">
        <v>-2461</v>
      </c>
      <c r="C97" s="10">
        <v>-2186</v>
      </c>
      <c r="D97" s="10">
        <v>-13972</v>
      </c>
    </row>
    <row r="98" spans="1:5" x14ac:dyDescent="0.45">
      <c r="A98" s="1" t="s">
        <v>145</v>
      </c>
      <c r="B98" s="10">
        <v>22681</v>
      </c>
      <c r="C98" s="10">
        <v>8240</v>
      </c>
      <c r="D98" s="10">
        <v>9677</v>
      </c>
    </row>
    <row r="99" spans="1:5" x14ac:dyDescent="0.45">
      <c r="A99" s="1" t="s">
        <v>146</v>
      </c>
      <c r="B99" s="10">
        <v>-31812</v>
      </c>
      <c r="C99" s="10">
        <v>-7100</v>
      </c>
      <c r="D99" s="10">
        <v>-12731</v>
      </c>
    </row>
    <row r="100" spans="1:5" x14ac:dyDescent="0.45">
      <c r="A100" s="11" t="s">
        <v>127</v>
      </c>
      <c r="B100" s="12">
        <f>+SUM(B95:B99)</f>
        <v>-24281</v>
      </c>
      <c r="C100" s="12">
        <f t="shared" ref="C100:D100" si="7">+SUM(C95:C99)</f>
        <v>-12369</v>
      </c>
      <c r="D100" s="12">
        <f t="shared" si="7"/>
        <v>-27084</v>
      </c>
    </row>
    <row r="101" spans="1:5" x14ac:dyDescent="0.45">
      <c r="A101" s="9" t="s">
        <v>128</v>
      </c>
      <c r="B101" s="10"/>
      <c r="C101" s="10"/>
      <c r="D101" s="10"/>
    </row>
    <row r="102" spans="1:5" x14ac:dyDescent="0.45">
      <c r="A102" s="1" t="s">
        <v>147</v>
      </c>
      <c r="B102" s="10">
        <v>2273</v>
      </c>
      <c r="C102" s="10">
        <v>768</v>
      </c>
      <c r="D102" s="10">
        <v>16228</v>
      </c>
      <c r="E102" s="10"/>
    </row>
    <row r="103" spans="1:5" x14ac:dyDescent="0.45">
      <c r="A103" s="1" t="s">
        <v>148</v>
      </c>
      <c r="B103" s="10">
        <v>-2684</v>
      </c>
      <c r="C103" s="10">
        <v>-668</v>
      </c>
      <c r="D103" s="10">
        <v>-1301</v>
      </c>
    </row>
    <row r="104" spans="1:5" x14ac:dyDescent="0.45">
      <c r="A104" s="1" t="s">
        <v>129</v>
      </c>
      <c r="B104" s="10">
        <v>-9628</v>
      </c>
      <c r="C104" s="10">
        <v>-7449</v>
      </c>
      <c r="D104" s="10">
        <v>-4799</v>
      </c>
    </row>
    <row r="105" spans="1:5" x14ac:dyDescent="0.45">
      <c r="A105" s="1" t="s">
        <v>130</v>
      </c>
      <c r="B105" s="10">
        <v>-27</v>
      </c>
      <c r="C105" s="10">
        <v>-337</v>
      </c>
      <c r="D105" s="10">
        <v>-200</v>
      </c>
    </row>
    <row r="106" spans="1:5" x14ac:dyDescent="0.45">
      <c r="A106" s="11" t="s">
        <v>149</v>
      </c>
      <c r="B106" s="12">
        <f>+SUM(B102:B105)</f>
        <v>-10066</v>
      </c>
      <c r="C106" s="12">
        <f>+SUM(C102:C105)</f>
        <v>-7686</v>
      </c>
      <c r="D106" s="12">
        <f>+SUM(D102:D105)</f>
        <v>9928</v>
      </c>
    </row>
    <row r="107" spans="1:5" x14ac:dyDescent="0.45">
      <c r="A107" s="11" t="s">
        <v>150</v>
      </c>
      <c r="B107" s="12">
        <v>70</v>
      </c>
      <c r="C107" s="12">
        <v>-351</v>
      </c>
      <c r="D107" s="12">
        <v>713</v>
      </c>
    </row>
    <row r="108" spans="1:5" x14ac:dyDescent="0.45">
      <c r="A108" s="11" t="s">
        <v>131</v>
      </c>
      <c r="B108" s="12">
        <v>4237</v>
      </c>
      <c r="C108" s="12">
        <v>10317</v>
      </c>
      <c r="D108" s="12">
        <v>1922</v>
      </c>
    </row>
    <row r="109" spans="1:5" ht="14.65" thickBot="1" x14ac:dyDescent="0.5">
      <c r="A109" s="13" t="s">
        <v>151</v>
      </c>
      <c r="B109" s="14">
        <v>36410</v>
      </c>
      <c r="C109" s="14">
        <v>32173</v>
      </c>
      <c r="D109" s="14">
        <v>21856</v>
      </c>
    </row>
    <row r="110" spans="1:5" ht="14.65" thickTop="1" x14ac:dyDescent="0.45">
      <c r="B110" s="10"/>
      <c r="C110" s="10"/>
      <c r="D110" s="10"/>
    </row>
    <row r="111" spans="1:5" x14ac:dyDescent="0.45">
      <c r="A111" s="9" t="s">
        <v>132</v>
      </c>
      <c r="B111" s="10"/>
      <c r="C111" s="10"/>
      <c r="D111" s="10"/>
    </row>
    <row r="112" spans="1:5" x14ac:dyDescent="0.45">
      <c r="A112" t="s">
        <v>152</v>
      </c>
      <c r="B112" s="10">
        <v>875</v>
      </c>
      <c r="C112" s="10">
        <v>854</v>
      </c>
      <c r="D112" s="10">
        <v>328</v>
      </c>
    </row>
    <row r="113" spans="1:4" x14ac:dyDescent="0.45">
      <c r="A113" t="s">
        <v>153</v>
      </c>
      <c r="B113" s="10"/>
      <c r="C113" s="10"/>
      <c r="D113" s="10"/>
    </row>
    <row r="114" spans="1:4" x14ac:dyDescent="0.45">
      <c r="A114" t="s">
        <v>154</v>
      </c>
      <c r="B114">
        <v>647</v>
      </c>
      <c r="C114">
        <v>381</v>
      </c>
      <c r="D114">
        <v>200</v>
      </c>
    </row>
    <row r="115" spans="1:4" x14ac:dyDescent="0.45">
      <c r="A115" t="s">
        <v>155</v>
      </c>
      <c r="B115">
        <v>39</v>
      </c>
      <c r="C115">
        <v>194</v>
      </c>
      <c r="D115">
        <v>119</v>
      </c>
    </row>
    <row r="116" spans="1:4" x14ac:dyDescent="0.45">
      <c r="A116" t="s">
        <v>156</v>
      </c>
      <c r="B116" s="10">
        <v>881</v>
      </c>
      <c r="C116" s="10">
        <v>1184</v>
      </c>
      <c r="D116" s="10">
        <v>957</v>
      </c>
    </row>
    <row r="117" spans="1:4" x14ac:dyDescent="0.45">
      <c r="A117" t="s">
        <v>157</v>
      </c>
      <c r="B117" s="10">
        <v>7870</v>
      </c>
    </row>
    <row r="118" spans="1:4" x14ac:dyDescent="0.45">
      <c r="A118" t="s">
        <v>158</v>
      </c>
      <c r="B118" s="10">
        <v>13723</v>
      </c>
      <c r="C118">
        <v>10615</v>
      </c>
      <c r="D118">
        <v>9637</v>
      </c>
    </row>
    <row r="119" spans="1:4" x14ac:dyDescent="0.45">
      <c r="A119" t="s">
        <v>159</v>
      </c>
      <c r="B119" s="10">
        <v>1362</v>
      </c>
      <c r="C119">
        <v>3641</v>
      </c>
      <c r="D119">
        <v>3541</v>
      </c>
    </row>
  </sheetData>
  <mergeCells count="6">
    <mergeCell ref="B75:D75"/>
    <mergeCell ref="B3:D3"/>
    <mergeCell ref="A34:D34"/>
    <mergeCell ref="B35:D35"/>
    <mergeCell ref="A74:D74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zoomScale="98" workbookViewId="0">
      <selection activeCell="B39" sqref="B39"/>
    </sheetView>
  </sheetViews>
  <sheetFormatPr defaultRowHeight="14.25" x14ac:dyDescent="0.45"/>
  <cols>
    <col min="1" max="1" width="4.6640625" customWidth="1"/>
    <col min="2" max="2" width="44.86328125" customWidth="1"/>
    <col min="3" max="3" width="10.796875" bestFit="1" customWidth="1"/>
    <col min="4" max="4" width="10.53125" bestFit="1" customWidth="1"/>
    <col min="5" max="5" width="10.86328125" bestFit="1" customWidth="1"/>
  </cols>
  <sheetData>
    <row r="1" spans="1:10" ht="60" customHeight="1" x14ac:dyDescent="0.75">
      <c r="A1" s="7"/>
      <c r="B1" s="20" t="s">
        <v>54</v>
      </c>
      <c r="C1" s="21"/>
      <c r="D1" s="21"/>
      <c r="E1" s="21"/>
      <c r="F1" s="21"/>
      <c r="G1" s="21"/>
      <c r="H1" s="21"/>
      <c r="I1" s="21"/>
      <c r="J1" s="21"/>
    </row>
    <row r="2" spans="1:10" x14ac:dyDescent="0.45">
      <c r="C2" s="24" t="s">
        <v>55</v>
      </c>
      <c r="D2" s="24"/>
      <c r="E2" s="24"/>
    </row>
    <row r="3" spans="1:10" x14ac:dyDescent="0.45">
      <c r="C3" s="9">
        <v>2019</v>
      </c>
      <c r="D3" s="9">
        <v>2018</v>
      </c>
      <c r="E3" s="9">
        <v>2017</v>
      </c>
    </row>
    <row r="4" spans="1:10" x14ac:dyDescent="0.45">
      <c r="A4" s="22">
        <v>1</v>
      </c>
      <c r="B4" s="9" t="s">
        <v>14</v>
      </c>
    </row>
    <row r="5" spans="1:10" x14ac:dyDescent="0.45">
      <c r="A5" s="22">
        <f>+A4+0.1</f>
        <v>1.1000000000000001</v>
      </c>
      <c r="B5" s="1" t="s">
        <v>15</v>
      </c>
      <c r="C5" s="35">
        <f>'Financial Statements'!B42/'Financial Statements'!B55</f>
        <v>1.0970482394205803</v>
      </c>
      <c r="D5" s="35">
        <f>'Financial Statements'!C42/'Financial Statements'!C55</f>
        <v>1.0981123247210891</v>
      </c>
      <c r="E5" s="35">
        <f>'Financial Statements'!D42/'Financial Statements'!D55</f>
        <v>1.039977195376881</v>
      </c>
    </row>
    <row r="6" spans="1:10" x14ac:dyDescent="0.45">
      <c r="A6" s="22">
        <f t="shared" ref="A6:A13" si="0">+A5+0.1</f>
        <v>1.2000000000000002</v>
      </c>
      <c r="B6" s="1" t="s">
        <v>16</v>
      </c>
      <c r="C6" s="35">
        <f>('Financial Statements'!B42-'Financial Statements'!B40)/'Financial Statements'!B55</f>
        <v>0.86362911674941922</v>
      </c>
      <c r="D6" s="35">
        <f>('Financial Statements'!C42-'Financial Statements'!C40)/'Financial Statements'!C55</f>
        <v>0.84699741194016753</v>
      </c>
      <c r="E6" s="35">
        <f>('Financial Statements'!D42-'Financial Statements'!D40)/'Financial Statements'!D55</f>
        <v>0.76274553841369663</v>
      </c>
    </row>
    <row r="7" spans="1:10" x14ac:dyDescent="0.45">
      <c r="A7" s="22">
        <f t="shared" si="0"/>
        <v>1.3000000000000003</v>
      </c>
      <c r="B7" s="1" t="s">
        <v>17</v>
      </c>
      <c r="C7" s="35">
        <f>'Financial Statements'!B38/'Financial Statements'!B55</f>
        <v>0.41101443993987152</v>
      </c>
      <c r="D7" s="35">
        <f>'Financial Statements'!C38/'Financial Statements'!C55</f>
        <v>0.46424237107221711</v>
      </c>
      <c r="E7" s="35">
        <f>'Financial Statements'!D38/'Financial Statements'!D55</f>
        <v>0.35454278458269267</v>
      </c>
    </row>
    <row r="8" spans="1:10" x14ac:dyDescent="0.45">
      <c r="A8" s="22">
        <f t="shared" si="0"/>
        <v>1.4000000000000004</v>
      </c>
      <c r="B8" s="1" t="s">
        <v>18</v>
      </c>
      <c r="C8" s="35">
        <f>'Financial Statements'!B42/'Financial Statements'!B18</f>
        <v>0.3621837650057711</v>
      </c>
      <c r="D8" s="35">
        <f>'Financial Statements'!C42/'Financial Statements'!C18</f>
        <v>0.34064663031941433</v>
      </c>
      <c r="E8" s="35">
        <f>'Financial Statements'!D42/'Financial Statements'!D18</f>
        <v>0.34643761510128912</v>
      </c>
    </row>
    <row r="9" spans="1:10" x14ac:dyDescent="0.45">
      <c r="A9" s="22">
        <f t="shared" si="0"/>
        <v>1.5000000000000004</v>
      </c>
      <c r="B9" s="1" t="s">
        <v>162</v>
      </c>
      <c r="C9" s="22">
        <f>365/AVERAGE('Financial Statements'!B88:D88)</f>
        <v>-0.13394495412844037</v>
      </c>
      <c r="D9" s="22">
        <f>365/(AVERAGE('Financial Statements'!C88:E88))</f>
        <v>-0.14907085971002654</v>
      </c>
      <c r="E9" s="22">
        <f>365/(AVERAGE('Financial Statements'!D88:F88))</f>
        <v>-0.10186994138989673</v>
      </c>
    </row>
    <row r="10" spans="1:10" x14ac:dyDescent="0.45">
      <c r="A10" s="22">
        <f t="shared" si="0"/>
        <v>1.6000000000000005</v>
      </c>
      <c r="B10" s="1" t="s">
        <v>19</v>
      </c>
      <c r="C10" s="35">
        <f>'Financial Statements'!B52/'Financial Statements'!B11*365</f>
        <v>153.85669233655548</v>
      </c>
      <c r="D10" s="35">
        <f>'Financial Statements'!C52/'Financial Statements'!C11*365</f>
        <v>100.1759176751272</v>
      </c>
      <c r="E10" s="35">
        <f>'Financial Statements'!D52/'Financial Statements'!D11*365</f>
        <v>76.326841291320306</v>
      </c>
    </row>
    <row r="11" spans="1:10" x14ac:dyDescent="0.45">
      <c r="A11" s="22">
        <f t="shared" si="0"/>
        <v>1.7000000000000006</v>
      </c>
      <c r="B11" s="1" t="s">
        <v>20</v>
      </c>
      <c r="C11" s="35">
        <f>('Financial Statements'!B41/'Financial Statements'!B11)*365</f>
        <v>67.877856594064369</v>
      </c>
      <c r="D11" s="35">
        <f>('Financial Statements'!C41/'Financial Statements'!C11)*365</f>
        <v>43.743029405846677</v>
      </c>
      <c r="E11" s="35">
        <f>('Financial Statements'!D41/'Financial Statements'!D11)*365</f>
        <v>29.02607287840711</v>
      </c>
    </row>
    <row r="12" spans="1:10" x14ac:dyDescent="0.45">
      <c r="A12" s="22">
        <f t="shared" si="0"/>
        <v>1.8000000000000007</v>
      </c>
      <c r="B12" s="1" t="s">
        <v>21</v>
      </c>
      <c r="C12" s="35">
        <f>'Financial Statements'!B41/'Financial Statements'!B8+C9-AVERAGE('Financial Statements'!B52:D52)/'Financial Statements'!B11*365</f>
        <v>-130.48396363836864</v>
      </c>
      <c r="D12" s="35">
        <f>'Financial Statements'!C41/'Financial Statements'!C8+D9-AVERAGE('Financial Statements'!C52:E52)/'Financial Statements'!C11*365</f>
        <v>-95.563534207232294</v>
      </c>
      <c r="E12" s="35">
        <f>'Financial Statements'!D41/'Financial Statements'!D8+E9-AVERAGE('Financial Statements'!D52:F52)/'Financial Statements'!D11*365</f>
        <v>-76.35470046055589</v>
      </c>
    </row>
    <row r="13" spans="1:10" x14ac:dyDescent="0.45">
      <c r="A13" s="22">
        <f t="shared" si="0"/>
        <v>1.9000000000000008</v>
      </c>
      <c r="B13" s="1" t="s">
        <v>22</v>
      </c>
    </row>
    <row r="14" spans="1:10" x14ac:dyDescent="0.45">
      <c r="A14" s="22"/>
      <c r="B14" s="19" t="s">
        <v>23</v>
      </c>
      <c r="C14" s="34">
        <f>('Financial Statements'!B40+'Financial Statements'!B41-'Financial Statements'!B52)/'Financial Statements'!B8*100</f>
        <v>-2.0925275022992849</v>
      </c>
      <c r="D14" s="34">
        <f>('Financial Statements'!C40+'Financial Statements'!C41-'Financial Statements'!C52)/'Financial Statements'!C8*100</f>
        <v>-1.8639941259065553</v>
      </c>
      <c r="E14" s="34">
        <f>('Financial Statements'!D40+'Financial Statements'!D41-'Financial Statements'!D52)/'Financial Statements'!D8*100</f>
        <v>-3.0388044932702147</v>
      </c>
    </row>
    <row r="15" spans="1:10" x14ac:dyDescent="0.45">
      <c r="A15" s="22"/>
    </row>
    <row r="16" spans="1:10" x14ac:dyDescent="0.45">
      <c r="A16" s="22">
        <f>+A4+1</f>
        <v>2</v>
      </c>
      <c r="B16" s="23" t="s">
        <v>24</v>
      </c>
    </row>
    <row r="17" spans="1:11" x14ac:dyDescent="0.45">
      <c r="A17" s="22">
        <f>+A16+0.1</f>
        <v>2.1</v>
      </c>
      <c r="B17" s="1" t="s">
        <v>11</v>
      </c>
      <c r="C17" s="34">
        <f>('Financial Statements'!B8-'Financial Statements'!B11)/'Financial Statements'!B8</f>
        <v>0.6009796023128311</v>
      </c>
      <c r="D17" s="34">
        <f>('Financial Statements'!C8-'Financial Statements'!C11)/'Financial Statements'!C8</f>
        <v>0.40247416128852193</v>
      </c>
      <c r="E17" s="34">
        <f>('Financial Statements'!D8-'Financial Statements'!D11)/'Financial Statements'!D8</f>
        <v>6.9321849032417657E-2</v>
      </c>
    </row>
    <row r="18" spans="1:11" x14ac:dyDescent="0.45">
      <c r="A18" s="22">
        <f>+A17+0.1</f>
        <v>2.2000000000000002</v>
      </c>
      <c r="B18" s="1" t="s">
        <v>160</v>
      </c>
      <c r="C18">
        <f>'Financial Statements'!B19+'Financial Statements'!B82</f>
        <v>36330</v>
      </c>
      <c r="D18">
        <f>'Financial Statements'!C19+'Financial Statements'!C82</f>
        <v>27762</v>
      </c>
      <c r="E18">
        <f>'Financial Statements'!D19+'Financial Statements'!D82</f>
        <v>15584</v>
      </c>
    </row>
    <row r="19" spans="1:11" x14ac:dyDescent="0.45">
      <c r="A19" s="22"/>
      <c r="B19" s="19" t="s">
        <v>161</v>
      </c>
      <c r="C19" s="35">
        <f>C18/'Financial Statements'!B8</f>
        <v>0.12950855904349748</v>
      </c>
      <c r="D19" s="35">
        <f>D18/'Financial Statements'!C8</f>
        <v>0.11920802792770743</v>
      </c>
      <c r="E19" s="35">
        <f>E18/'Financial Statements'!D8</f>
        <v>8.7616520301800227E-2</v>
      </c>
    </row>
    <row r="20" spans="1:11" x14ac:dyDescent="0.45">
      <c r="A20" s="22">
        <f>+A18+0.1</f>
        <v>2.3000000000000003</v>
      </c>
      <c r="B20" s="1" t="s">
        <v>25</v>
      </c>
      <c r="C20" s="33">
        <f>'Financial Statements'!B19/'Financial Statements'!B8</f>
        <v>5.1835506662579051E-2</v>
      </c>
      <c r="D20" s="33">
        <f>'Financial Statements'!C19/'Financial Statements'!C8</f>
        <v>5.3334879147397665E-2</v>
      </c>
      <c r="E20" s="33">
        <f>'Financial Statements'!D19/'Financial Statements'!D8</f>
        <v>2.3084794170892695E-2</v>
      </c>
    </row>
    <row r="21" spans="1:11" x14ac:dyDescent="0.45">
      <c r="A21" s="22"/>
      <c r="B21" s="19" t="s">
        <v>26</v>
      </c>
      <c r="C21">
        <f>'Financial Statements'!B8-'Financial Statements'!B11-'Financial Statements'!B18</f>
        <v>-97393</v>
      </c>
      <c r="D21">
        <f>'Financial Statements'!C8-'Financial Statements'!C11-'Financial Statements'!C18</f>
        <v>-126735</v>
      </c>
      <c r="E21">
        <f>'Financial Statements'!D8-'Financial Statements'!D11-'Financial Statements'!D18</f>
        <v>-161430</v>
      </c>
    </row>
    <row r="22" spans="1:11" x14ac:dyDescent="0.45">
      <c r="A22" s="22">
        <f>+A20+0.1</f>
        <v>2.4000000000000004</v>
      </c>
      <c r="B22" s="1" t="s">
        <v>27</v>
      </c>
      <c r="C22" s="34">
        <f>'Financial Statements'!B27/'Financial Statements'!B8</f>
        <v>4.1308703060722513E-2</v>
      </c>
      <c r="D22" s="34">
        <f>'Financial Statements'!C27/'Financial Statements'!C8</f>
        <v>4.3252736305590261E-2</v>
      </c>
      <c r="E22" s="34">
        <f>'Financial Statements'!D27/'Financial Statements'!D8</f>
        <v>1.7052162864178651E-2</v>
      </c>
    </row>
    <row r="23" spans="1:11" x14ac:dyDescent="0.45">
      <c r="A23" s="22"/>
    </row>
    <row r="24" spans="1:11" x14ac:dyDescent="0.45">
      <c r="A24" s="22">
        <f>+A16+1</f>
        <v>3</v>
      </c>
      <c r="B24" s="9" t="s">
        <v>28</v>
      </c>
    </row>
    <row r="25" spans="1:11" x14ac:dyDescent="0.45">
      <c r="A25" s="22">
        <f>+A24+0.1</f>
        <v>3.1</v>
      </c>
      <c r="B25" s="1" t="s">
        <v>29</v>
      </c>
      <c r="C25" s="35">
        <f>'Financial Statements'!B62/'Financial Statements'!B71</f>
        <v>2.6295198195294875</v>
      </c>
      <c r="D25" s="35">
        <f>'Financial Statements'!C62/'Financial Statements'!C71</f>
        <v>6.6935873658180185</v>
      </c>
      <c r="E25" s="35">
        <f>'Financial Statements'!D62/'Financial Statements'!D71</f>
        <v>3.7388935003067596</v>
      </c>
      <c r="K25" s="10"/>
    </row>
    <row r="26" spans="1:11" x14ac:dyDescent="0.45">
      <c r="A26" s="22">
        <f t="shared" ref="A26:A30" si="1">+A25+0.1</f>
        <v>3.2</v>
      </c>
      <c r="B26" s="1" t="s">
        <v>30</v>
      </c>
      <c r="C26" s="34">
        <f>'Financial Statements'!B62/'Financial Statements'!B49</f>
        <v>0.72448146043472084</v>
      </c>
      <c r="D26" s="34">
        <f>'Financial Statements'!C62/'Financial Statements'!C49</f>
        <v>0.732250012296493</v>
      </c>
      <c r="E26" s="34">
        <f>'Financial Statements'!D62/'Financial Statements'!D49</f>
        <v>0.78898027568349705</v>
      </c>
    </row>
    <row r="27" spans="1:11" x14ac:dyDescent="0.45">
      <c r="A27" s="22">
        <f t="shared" si="1"/>
        <v>3.3000000000000003</v>
      </c>
      <c r="B27" s="1" t="s">
        <v>31</v>
      </c>
      <c r="C27" s="35">
        <f>'Financial Statements'!B59/('Financial Statements'!B49-'Financial Statements'!B55)</f>
        <v>0.1703629325649757</v>
      </c>
      <c r="D27" s="35">
        <f>'Financial Statements'!C59/('Financial Statements'!C49-'Financial Statements'!C55)</f>
        <v>0.24926530655548129</v>
      </c>
      <c r="E27" s="35">
        <f>'Financial Statements'!D59/('Financial Statements'!D49-'Financial Statements'!D55)</f>
        <v>0.33697413757881978</v>
      </c>
    </row>
    <row r="28" spans="1:11" x14ac:dyDescent="0.45">
      <c r="A28" s="22">
        <f t="shared" si="1"/>
        <v>3.4000000000000004</v>
      </c>
      <c r="B28" s="1" t="s">
        <v>32</v>
      </c>
      <c r="C28" s="33">
        <f>'Financial Statements'!B19/'Financial Statements'!B21</f>
        <v>-9.0881249999999998</v>
      </c>
      <c r="D28" s="33">
        <f>'Financial Statements'!C19/'Financial Statements'!C21</f>
        <v>-8.765702187720537</v>
      </c>
      <c r="E28" s="33">
        <f>'Financial Statements'!D19/'Financial Statements'!D21</f>
        <v>-4.841981132075472</v>
      </c>
    </row>
    <row r="29" spans="1:11" x14ac:dyDescent="0.45">
      <c r="A29" s="22">
        <f t="shared" si="1"/>
        <v>3.5000000000000004</v>
      </c>
      <c r="B29" s="1" t="s">
        <v>33</v>
      </c>
      <c r="C29" s="33">
        <f>'Financial Statements'!B19/'Financial Statements'!B105</f>
        <v>-538.55555555555554</v>
      </c>
      <c r="D29" s="33">
        <f>'Financial Statements'!C19/'Financial Statements'!C105</f>
        <v>-36.857566765578632</v>
      </c>
      <c r="E29" s="33">
        <f>'Financial Statements'!D19/'Financial Statements'!D105</f>
        <v>-20.53</v>
      </c>
    </row>
    <row r="30" spans="1:11" x14ac:dyDescent="0.45">
      <c r="A30" s="22">
        <f t="shared" si="1"/>
        <v>3.6000000000000005</v>
      </c>
      <c r="B30" s="1" t="s">
        <v>34</v>
      </c>
      <c r="C30" s="35">
        <f>'Financial Statements'!B19-'Financial Statements'!B44/'Financial Statements'!B67+527</f>
        <v>15107.578116494284</v>
      </c>
      <c r="D30" s="35">
        <f>'Financial Statements'!C19-'Financial Statements'!C44/'Financial Statements'!C67+527</f>
        <v>12981.64017419706</v>
      </c>
      <c r="E30" s="35">
        <f>'Financial Statements'!D19-'Financial Statements'!D44/'Financial Statements'!D67+527</f>
        <v>4659.6009798584646</v>
      </c>
    </row>
    <row r="31" spans="1:11" x14ac:dyDescent="0.45">
      <c r="A31" s="22"/>
      <c r="B31" s="19" t="s">
        <v>35</v>
      </c>
    </row>
    <row r="32" spans="1:11" x14ac:dyDescent="0.45">
      <c r="A32" s="22"/>
    </row>
    <row r="33" spans="1:5" x14ac:dyDescent="0.45">
      <c r="A33" s="22">
        <f>+A24+1</f>
        <v>4</v>
      </c>
      <c r="B33" s="23" t="s">
        <v>36</v>
      </c>
    </row>
    <row r="34" spans="1:5" x14ac:dyDescent="0.45">
      <c r="A34" s="22">
        <f>+A33+0.1</f>
        <v>4.0999999999999996</v>
      </c>
      <c r="B34" s="1" t="s">
        <v>37</v>
      </c>
      <c r="C34" s="35">
        <f>'Financial Statements'!B8/AVERAGE('Financial Statements'!B49)</f>
        <v>1.2453917459866459</v>
      </c>
      <c r="D34" s="35">
        <f>'Financial Statements'!C8/AVERAGE('Financial Statements'!C49)</f>
        <v>1.431846687324775</v>
      </c>
      <c r="E34" s="35">
        <f>'Financial Statements'!D8/AVERAGE('Financial Statements'!D49)</f>
        <v>1.3545503008148656</v>
      </c>
    </row>
    <row r="35" spans="1:5" x14ac:dyDescent="0.45">
      <c r="A35" s="22">
        <f t="shared" ref="A35:A37" si="2">+A34+0.1</f>
        <v>4.1999999999999993</v>
      </c>
      <c r="B35" s="1" t="s">
        <v>38</v>
      </c>
      <c r="C35" s="35">
        <f>'Financial Statements'!B8/'Financial Statements'!B49-('Financial Statements'!B82+'Financial Statements'!B82+'Financial Statements'!C82+'Financial Statements'!D82)</f>
        <v>-70395.754608254007</v>
      </c>
      <c r="D35" s="35">
        <f>'Financial Statements'!C8/'Financial Statements'!C49-('Financial Statements'!C82+'Financial Statements'!C82+'Financial Statements'!D82+'Financial Statements'!E82)</f>
        <v>-42158.568153312677</v>
      </c>
      <c r="E35" s="35">
        <f>'Financial Statements'!D8/'Financial Statements'!D49-('Financial Statements'!D82+'Financial Statements'!D82+'Financial Statements'!E82+'Financial Statements'!F82)</f>
        <v>-22954.645449699186</v>
      </c>
    </row>
    <row r="36" spans="1:5" x14ac:dyDescent="0.45">
      <c r="A36" s="22">
        <f t="shared" si="2"/>
        <v>4.2999999999999989</v>
      </c>
      <c r="B36" s="1" t="s">
        <v>39</v>
      </c>
      <c r="C36" s="35">
        <f>'Financial Statements'!B11/AVERAGE('Financial Statements'!B8:D8)</f>
        <v>0.48577194314852989</v>
      </c>
      <c r="D36" s="35">
        <f>'Financial Statements'!C11/AVERAGE('Financial Statements'!C8:E8)</f>
        <v>0.67756534949227398</v>
      </c>
      <c r="E36" s="35">
        <f>'Financial Statements'!D11/AVERAGE('Financial Statements'!D8:F8)</f>
        <v>0.93067815096758233</v>
      </c>
    </row>
    <row r="37" spans="1:5" x14ac:dyDescent="0.45">
      <c r="A37" s="22">
        <f t="shared" si="2"/>
        <v>4.3999999999999986</v>
      </c>
      <c r="B37" s="1" t="s">
        <v>40</v>
      </c>
      <c r="C37" s="33">
        <f>'Financial Statements'!B80/AVERAGE('Financial Statements'!B49:D49)</f>
        <v>6.6956082942030717E-2</v>
      </c>
      <c r="D37" s="33">
        <f>'Financial Statements'!C80/AVERAGE('Financial Statements'!C49:E49)</f>
        <v>6.8533600038100675E-2</v>
      </c>
      <c r="E37" s="33">
        <f>'Financial Statements'!D80/AVERAGE('Financial Statements'!D49:F49)</f>
        <v>2.3098012337217273E-2</v>
      </c>
    </row>
    <row r="38" spans="1:5" x14ac:dyDescent="0.45">
      <c r="A38" s="22"/>
    </row>
    <row r="39" spans="1:5" x14ac:dyDescent="0.45">
      <c r="A39" s="22">
        <f>+A33+1</f>
        <v>5</v>
      </c>
      <c r="B39" s="23" t="s">
        <v>41</v>
      </c>
    </row>
    <row r="40" spans="1:5" x14ac:dyDescent="0.45">
      <c r="A40" s="22">
        <f>+A39+0.1</f>
        <v>5.0999999999999996</v>
      </c>
      <c r="B40" s="1" t="s">
        <v>42</v>
      </c>
      <c r="C40" s="33">
        <f>'Financial Statements'!B80/532</f>
        <v>21.781954887218046</v>
      </c>
      <c r="D40" s="33">
        <f>'Financial Statements'!C80/532</f>
        <v>18.934210526315791</v>
      </c>
      <c r="E40" s="33">
        <f>'Financial Statements'!D80/532</f>
        <v>5.7011278195488719</v>
      </c>
    </row>
    <row r="41" spans="1:5" x14ac:dyDescent="0.45">
      <c r="A41" s="22">
        <f t="shared" ref="A41:A44" si="3">+A40+0.1</f>
        <v>5.1999999999999993</v>
      </c>
      <c r="B41" s="19" t="s">
        <v>43</v>
      </c>
      <c r="C41" s="33">
        <f>'Financial Statements'!B27-(0.01*'Financial Statements'!B66)/0.01*5000</f>
        <v>-13412</v>
      </c>
      <c r="D41" s="33">
        <f>'Financial Statements'!C27-(0.01*'Financial Statements'!C66)/0.01*5000</f>
        <v>-14927</v>
      </c>
      <c r="E41" s="33">
        <f>'Financial Statements'!D27-(0.01*'Financial Statements'!D66)/0.01*5000</f>
        <v>-21967</v>
      </c>
    </row>
    <row r="42" spans="1:5" x14ac:dyDescent="0.45">
      <c r="A42" s="22">
        <f t="shared" si="3"/>
        <v>5.2999999999999989</v>
      </c>
      <c r="B42" s="1" t="s">
        <v>44</v>
      </c>
      <c r="C42">
        <f>181.71/'Financial Statements'!B49-'Financial Statements'!B62</f>
        <v>-163187.99919328917</v>
      </c>
      <c r="D42">
        <f>181.71/'Financial Statements'!C49-'Financial Statements'!C62</f>
        <v>-119098.99888280213</v>
      </c>
      <c r="E42">
        <f>181.71/'Financial Statements'!D49-'Financial Statements'!D62</f>
        <v>-103600.99861617546</v>
      </c>
    </row>
    <row r="43" spans="1:5" x14ac:dyDescent="0.45">
      <c r="A43" s="22">
        <f t="shared" si="3"/>
        <v>5.3999999999999986</v>
      </c>
      <c r="B43" s="19" t="s">
        <v>45</v>
      </c>
      <c r="C43">
        <f>'Financial Statements'!B49-'Financial Statements'!B62/532</f>
        <v>224941.25563909774</v>
      </c>
      <c r="D43">
        <f>'Financial Statements'!C49-'Financial Statements'!C62/532</f>
        <v>162424.12969924812</v>
      </c>
      <c r="E43">
        <f>'Financial Statements'!D49-'Financial Statements'!D62/532</f>
        <v>131115.26127819548</v>
      </c>
    </row>
    <row r="44" spans="1:5" x14ac:dyDescent="0.45">
      <c r="A44" s="22">
        <f t="shared" si="3"/>
        <v>5.4999999999999982</v>
      </c>
      <c r="B44" s="1" t="s">
        <v>46</v>
      </c>
      <c r="C44" s="33">
        <f>'Financial Statements'!B71/'Financial Statements'!B27</f>
        <v>5.3555402140144981</v>
      </c>
      <c r="D44" s="33">
        <f>'Financial Statements'!C71/'Financial Statements'!C27</f>
        <v>1.766405241735332</v>
      </c>
      <c r="E44" s="33">
        <f>'Financial Statements'!D71/'Financial Statements'!D27</f>
        <v>9.135839103198153</v>
      </c>
    </row>
    <row r="45" spans="1:5" x14ac:dyDescent="0.45">
      <c r="A45" s="22"/>
      <c r="B45" s="19" t="s">
        <v>47</v>
      </c>
      <c r="C45" s="33">
        <f>'Financial Statements'!B71/5000</f>
        <v>12.412000000000001</v>
      </c>
      <c r="D45" s="33">
        <f>'Financial Statements'!C71/5000</f>
        <v>3.5586000000000002</v>
      </c>
      <c r="E45" s="33">
        <f>'Financial Statements'!D71/5000</f>
        <v>5.5418000000000003</v>
      </c>
    </row>
    <row r="46" spans="1:5" x14ac:dyDescent="0.45">
      <c r="A46" s="22">
        <f>+A44+0.1</f>
        <v>5.5999999999999979</v>
      </c>
      <c r="B46" s="1" t="s">
        <v>48</v>
      </c>
      <c r="C46" s="33">
        <f>('Financial Statements'!B71/532)/181.71</f>
        <v>0.64197972229566813</v>
      </c>
      <c r="D46" s="33">
        <f>('Financial Statements'!C71/532)/181.71</f>
        <v>0.18405970349350342</v>
      </c>
      <c r="E46" s="33">
        <f>('Financial Statements'!D71/532)/181.71</f>
        <v>0.28663577384935013</v>
      </c>
    </row>
    <row r="47" spans="1:5" x14ac:dyDescent="0.45">
      <c r="A47" s="22">
        <f t="shared" ref="A47:A50" si="4">+A45+0.1</f>
        <v>0.1</v>
      </c>
      <c r="B47" s="1" t="s">
        <v>49</v>
      </c>
      <c r="C47" s="35">
        <f>'Financial Statements'!B27/'Financial Statements'!B71</f>
        <v>0.1867225265871737</v>
      </c>
      <c r="D47" s="35">
        <f>'Financial Statements'!C27/'Financial Statements'!C71</f>
        <v>0.56612150845838249</v>
      </c>
      <c r="E47" s="35">
        <f>'Financial Statements'!D27/'Financial Statements'!D71</f>
        <v>0.10945902053484427</v>
      </c>
    </row>
    <row r="48" spans="1:5" x14ac:dyDescent="0.45">
      <c r="A48" s="22">
        <f t="shared" si="4"/>
        <v>5.6999999999999975</v>
      </c>
      <c r="B48" s="1" t="s">
        <v>50</v>
      </c>
      <c r="C48" s="36">
        <f>C21/('Financial Statements'!B49-'Financial Statements'!B55)</f>
        <v>-0.70864256817718796</v>
      </c>
      <c r="D48" s="36">
        <f>D21/('Financial Statements'!C49-'Financial Statements'!C55)</f>
        <v>-1.3445685731563704</v>
      </c>
      <c r="E48" s="36">
        <f>E21/('Financial Statements'!D49-'Financial Statements'!D55)</f>
        <v>-2.1985100848461738</v>
      </c>
    </row>
    <row r="49" spans="1:5" x14ac:dyDescent="0.45">
      <c r="A49" s="22">
        <f t="shared" si="4"/>
        <v>0.2</v>
      </c>
      <c r="B49" s="1" t="s">
        <v>40</v>
      </c>
      <c r="C49" s="33">
        <f>'Financial Statements'!B80/'Financial Statements'!B49</f>
        <v>5.1445517829237106E-2</v>
      </c>
      <c r="D49" s="33">
        <f>'Financial Statements'!C80/'Financial Statements'!C49</f>
        <v>6.1931287196891449E-2</v>
      </c>
      <c r="E49" s="33">
        <f>'Financial Statements'!D80/'Financial Statements'!D49</f>
        <v>2.3098012337217273E-2</v>
      </c>
    </row>
    <row r="50" spans="1:5" x14ac:dyDescent="0.45">
      <c r="A50" s="22">
        <f t="shared" si="4"/>
        <v>5.7999999999999972</v>
      </c>
      <c r="B50" s="1" t="s">
        <v>51</v>
      </c>
      <c r="C50">
        <f>C21+'Financial Statements'!B82</f>
        <v>-75604</v>
      </c>
      <c r="D50">
        <f>D21+'Financial Statements'!C82</f>
        <v>-111394</v>
      </c>
      <c r="E50">
        <f>E21+'Financial Statements'!D82</f>
        <v>-149952</v>
      </c>
    </row>
    <row r="51" spans="1:5" x14ac:dyDescent="0.45">
      <c r="A51" s="22"/>
      <c r="B51" s="19" t="s">
        <v>52</v>
      </c>
      <c r="C51" s="35">
        <f>181.71*532+('Financial Statements'!B59-'Financial Statements'!B38)</f>
        <v>83991.72</v>
      </c>
      <c r="D51" s="35">
        <f>181.71*532+('Financial Statements'!C59-'Financial Statements'!C38)</f>
        <v>88414.720000000001</v>
      </c>
      <c r="E51" s="35">
        <f>181.71*532+('Financial Statements'!D59-'Financial Statements'!D38)</f>
        <v>100890.72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Rachael Akiode</cp:lastModifiedBy>
  <dcterms:created xsi:type="dcterms:W3CDTF">2020-05-19T16:15:53Z</dcterms:created>
  <dcterms:modified xsi:type="dcterms:W3CDTF">2024-08-01T20:44:44Z</dcterms:modified>
</cp:coreProperties>
</file>