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veer/Documents/Quill_Capital/"/>
    </mc:Choice>
  </mc:AlternateContent>
  <xr:revisionPtr revIDLastSave="0" documentId="13_ncr:1_{A96085F5-FD00-8447-9E28-EA1FFA5602D2}" xr6:coauthVersionLast="47" xr6:coauthVersionMax="47" xr10:uidLastSave="{00000000-0000-0000-0000-000000000000}"/>
  <bookViews>
    <workbookView xWindow="0" yWindow="500" windowWidth="28800" windowHeight="1568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" l="1"/>
  <c r="E12" i="3"/>
  <c r="C12" i="3"/>
  <c r="C11" i="3"/>
  <c r="D11" i="3"/>
  <c r="E11" i="3"/>
  <c r="D10" i="3"/>
  <c r="E10" i="3"/>
  <c r="C10" i="3"/>
  <c r="D9" i="3"/>
  <c r="E9" i="3"/>
  <c r="C9" i="3"/>
  <c r="C45" i="2"/>
  <c r="B45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C11" i="2"/>
  <c r="B11" i="2"/>
  <c r="C34" i="2"/>
  <c r="C10" i="2" s="1"/>
  <c r="D34" i="2"/>
  <c r="B34" i="2"/>
  <c r="B10" i="2" s="1"/>
  <c r="C18" i="2"/>
  <c r="D18" i="2"/>
  <c r="B18" i="2"/>
  <c r="C17" i="2"/>
  <c r="D17" i="2"/>
  <c r="B17" i="2"/>
  <c r="C19" i="2"/>
  <c r="D19" i="2"/>
  <c r="B19" i="2"/>
  <c r="C22" i="2"/>
  <c r="D22" i="2"/>
  <c r="B22" i="2"/>
  <c r="C16" i="2"/>
  <c r="D16" i="2"/>
  <c r="B16" i="2"/>
  <c r="C15" i="2"/>
  <c r="D36" i="3" s="1"/>
  <c r="D15" i="2"/>
  <c r="E36" i="3" s="1"/>
  <c r="B15" i="2"/>
  <c r="C8" i="3"/>
  <c r="D7" i="3"/>
  <c r="E7" i="3"/>
  <c r="D8" i="3"/>
  <c r="E8" i="3"/>
  <c r="C7" i="3"/>
  <c r="D51" i="3"/>
  <c r="D50" i="3" s="1"/>
  <c r="E51" i="3"/>
  <c r="E50" i="3" s="1"/>
  <c r="C51" i="3"/>
  <c r="C50" i="3" s="1"/>
  <c r="D49" i="3"/>
  <c r="E49" i="3"/>
  <c r="C49" i="3"/>
  <c r="D48" i="3"/>
  <c r="E48" i="3"/>
  <c r="C48" i="3"/>
  <c r="D47" i="3"/>
  <c r="E47" i="3"/>
  <c r="C47" i="3"/>
  <c r="D46" i="3"/>
  <c r="E46" i="3"/>
  <c r="C46" i="3"/>
  <c r="D44" i="3"/>
  <c r="E44" i="3"/>
  <c r="C44" i="3"/>
  <c r="D45" i="3"/>
  <c r="E45" i="3"/>
  <c r="C45" i="3"/>
  <c r="D42" i="3"/>
  <c r="E42" i="3"/>
  <c r="C42" i="3"/>
  <c r="D40" i="3"/>
  <c r="E40" i="3"/>
  <c r="C40" i="3"/>
  <c r="D43" i="3"/>
  <c r="E43" i="3"/>
  <c r="C43" i="3"/>
  <c r="D37" i="3"/>
  <c r="E37" i="3"/>
  <c r="C37" i="3"/>
  <c r="D35" i="3"/>
  <c r="E35" i="3"/>
  <c r="C35" i="3"/>
  <c r="D34" i="3"/>
  <c r="E34" i="3"/>
  <c r="C34" i="3"/>
  <c r="C31" i="2"/>
  <c r="C24" i="2" s="1"/>
  <c r="D31" i="2"/>
  <c r="D24" i="2" s="1"/>
  <c r="B31" i="2"/>
  <c r="B23" i="2" s="1"/>
  <c r="D29" i="3"/>
  <c r="E29" i="3"/>
  <c r="C29" i="3"/>
  <c r="D28" i="3"/>
  <c r="E28" i="3"/>
  <c r="C28" i="3"/>
  <c r="D27" i="3"/>
  <c r="E27" i="3"/>
  <c r="C27" i="3"/>
  <c r="D25" i="3"/>
  <c r="E25" i="3"/>
  <c r="C25" i="3"/>
  <c r="D26" i="3"/>
  <c r="E26" i="3"/>
  <c r="C26" i="3"/>
  <c r="D22" i="3"/>
  <c r="E22" i="3"/>
  <c r="C22" i="3"/>
  <c r="D20" i="3"/>
  <c r="D21" i="3"/>
  <c r="E21" i="3"/>
  <c r="E20" i="3" s="1"/>
  <c r="C21" i="3"/>
  <c r="C20" i="3" s="1"/>
  <c r="D19" i="3"/>
  <c r="D18" i="3" s="1"/>
  <c r="E19" i="3"/>
  <c r="E18" i="3" s="1"/>
  <c r="C19" i="3"/>
  <c r="C18" i="3" s="1"/>
  <c r="D17" i="3"/>
  <c r="E17" i="3"/>
  <c r="C17" i="3"/>
  <c r="B13" i="1"/>
  <c r="D13" i="3"/>
  <c r="E13" i="3"/>
  <c r="D14" i="3"/>
  <c r="E14" i="3"/>
  <c r="C14" i="3"/>
  <c r="C13" i="3" s="1"/>
  <c r="E6" i="3"/>
  <c r="D6" i="3"/>
  <c r="C6" i="3"/>
  <c r="D5" i="3"/>
  <c r="E5" i="3"/>
  <c r="C5" i="3"/>
  <c r="D108" i="1"/>
  <c r="C108" i="1"/>
  <c r="B108" i="1"/>
  <c r="D99" i="1"/>
  <c r="C99" i="1"/>
  <c r="B99" i="1"/>
  <c r="C31" i="3" l="1"/>
  <c r="C30" i="3" s="1"/>
  <c r="B24" i="2"/>
  <c r="E31" i="3"/>
  <c r="E30" i="3" s="1"/>
  <c r="D23" i="2"/>
  <c r="D31" i="3"/>
  <c r="D30" i="3" s="1"/>
  <c r="C23" i="2"/>
  <c r="C36" i="3"/>
  <c r="D68" i="1"/>
  <c r="C68" i="1"/>
  <c r="B68" i="1"/>
  <c r="D61" i="1"/>
  <c r="C61" i="1"/>
  <c r="B61" i="1"/>
  <c r="D56" i="1"/>
  <c r="C56" i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C62" i="1" l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<sst xmlns="http://schemas.openxmlformats.org/spreadsheetml/2006/main" count="186" uniqueCount="155">
  <si>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</si>
  <si>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</si>
  <si>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</si>
  <si>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</si>
  <si>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</si>
  <si>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</si>
  <si>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</si>
  <si>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</si>
  <si>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</si>
  <si>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</si>
  <si>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</si>
  <si>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</si>
  <si>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</si>
  <si>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</si>
  <si>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</si>
  <si>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</si>
  <si>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</si>
  <si>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</si>
  <si>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</si>
  <si>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</si>
  <si>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</si>
  <si>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</si>
  <si>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</si>
  <si>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</si>
  <si>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</si>
  <si>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</si>
  <si>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</si>
  <si>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</si>
  <si>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</si>
  <si>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</si>
  <si>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</si>
  <si>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</si>
  <si>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</si>
  <si>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</si>
  <si>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</si>
  <si>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</si>
  <si>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</si>
  <si>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</si>
  <si>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</si>
  <si>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</si>
  <si>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</si>
  <si>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</si>
  <si>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</si>
  <si>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</si>
  <si>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</si>
  <si>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</si>
  <si>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</si>
  <si>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</si>
  <si>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</si>
  <si>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</si>
  <si>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</si>
  <si>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</si>
  <si>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</si>
  <si>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</si>
  <si>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</si>
  <si>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</si>
  <si>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</si>
  <si>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</si>
  <si>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</si>
  <si>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</si>
  <si>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</si>
  <si>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</si>
  <si>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</si>
  <si>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</si>
  <si>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</si>
  <si>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</si>
  <si>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</si>
  <si>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</si>
  <si>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</si>
  <si>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</si>
  <si>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</si>
  <si>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</si>
  <si>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</si>
  <si>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</si>
  <si>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</si>
  <si>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</si>
  <si>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</si>
  <si>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</si>
  <si>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</si>
  <si>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</si>
  <si>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</si>
  <si>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</si>
  <si>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</si>
  <si>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</si>
  <si>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</si>
  <si>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</si>
  <si>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</si>
  <si>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</si>
  <si>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</si>
  <si>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</si>
  <si>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</si>
  <si>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</si>
  <si>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</si>
  <si>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</si>
  <si>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</si>
  <si>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</si>
  <si>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</si>
  <si>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</si>
  <si>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</si>
  <si>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</si>
  <si>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</si>
  <si>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</si>
  <si>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</si>
  <si>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</si>
  <si>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</si>
  <si>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</si>
  <si>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</si>
  <si>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</si>
  <si>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</si>
  <si>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</si>
  <si>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</si>
  <si>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</si>
  <si>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</si>
  <si>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</si>
  <si>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</si>
  <si>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</si>
  <si>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</si>
  <si>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</si>
  <si>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</si>
  <si>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</si>
  <si>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</si>
  <si>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</si>
  <si>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</si>
  <si>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</si>
  <si>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</si>
  <si>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</si>
  <si>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</si>
  <si>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</si>
  <si>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</si>
  <si>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</si>
  <si>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</si>
  <si>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</si>
  <si>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</si>
  <si>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</si>
  <si>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</si>
  <si>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</si>
  <si>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</si>
  <si>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</si>
  <si>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</si>
  <si>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</si>
  <si>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</si>
  <si>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</si>
  <si>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</si>
  <si>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</si>
  <si>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</si>
  <si>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</si>
  <si>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</si>
  <si>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</si>
  <si>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</si>
  <si>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capex</t>
  </si>
  <si>
    <t xml:space="preserve">pps </t>
  </si>
  <si>
    <t>COGS</t>
  </si>
  <si>
    <t>Gross Profits</t>
  </si>
  <si>
    <t>Main line items of the balance sheet growth rates</t>
  </si>
  <si>
    <t>Main line items of the balance sheet - see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</si>
</sst>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164" fontId="1" fillId="0" borderId="1" xfId="1" applyNumberFormat="1" applyFont="1" applyBorder="1"/>
    <xf numFmtId="0" fontId="1" fillId="0" borderId="1" xfId="1" applyNumberFormat="1" applyFont="1" applyBorder="1" applyAlignme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topLeftCell="A26" zoomScale="140" zoomScaleNormal="140" workbookViewId="0">
      <selection activeCell="B45" sqref="B45:C45"/>
    </sheetView>
  </sheetViews>
  <sheetFormatPr baseColWidth="10" defaultColWidth="8.83203125" defaultRowHeight="15" x14ac:dyDescent="0.2"/>
  <cols>
    <col min="1" max="1" width="104.5" customWidth="1"/>
    <col min="2" max="2" width="11.33203125" bestFit="1" customWidth="1"/>
    <col min="3" max="3" width="11.6640625" bestFit="1" customWidth="1"/>
    <col min="4" max="4" width="9.6640625" bestFit="1" customWidth="1"/>
  </cols>
  <sheetData>
    <row r="1" spans="1:4" ht="24" x14ac:dyDescent="0.3">
      <c r="A1" s="5" t="s">
        <v>87</v>
      </c>
      <c r="B1">
        <v>2022</v>
      </c>
      <c r="C1">
        <v>2021</v>
      </c>
      <c r="D1">
        <v>2020</v>
      </c>
    </row>
    <row r="3" spans="1:4" x14ac:dyDescent="0.2">
      <c r="A3" s="7" t="s">
        <v>140</v>
      </c>
    </row>
    <row r="4" spans="1:4" x14ac:dyDescent="0.2">
      <c r="A4" s="16" t="s">
        <v>88</v>
      </c>
    </row>
    <row r="5" spans="1:4" x14ac:dyDescent="0.2">
      <c r="A5" s="7" t="s">
        <v>96</v>
      </c>
    </row>
    <row r="6" spans="1:4" x14ac:dyDescent="0.2">
      <c r="A6" s="1" t="s">
        <v>147</v>
      </c>
    </row>
    <row r="7" spans="1:4" x14ac:dyDescent="0.2">
      <c r="A7" s="1"/>
    </row>
    <row r="8" spans="1:4" x14ac:dyDescent="0.2">
      <c r="A8" s="17" t="s">
        <v>148</v>
      </c>
    </row>
    <row r="9" spans="1:4" x14ac:dyDescent="0.2">
      <c r="A9" s="1" t="s">
        <v>144</v>
      </c>
    </row>
    <row r="10" spans="1:4" x14ac:dyDescent="0.2">
      <c r="A10" s="1" t="s">
        <v>89</v>
      </c>
      <c r="B10" s="23">
        <f>-((B34-C34)/C34)*100</f>
        <v>8.7837341880551012</v>
      </c>
      <c r="C10" s="23">
        <f>((C34-D34)/D34)*100</f>
        <v>39.196921190654585</v>
      </c>
    </row>
    <row r="11" spans="1:4" x14ac:dyDescent="0.2">
      <c r="A11" s="1" t="s">
        <v>90</v>
      </c>
      <c r="B11" s="23">
        <f>(('Financial Statements'!B17-'Financial Statements'!C17)/'Financial Statements'!C17)*100</f>
        <v>16.993642764372137</v>
      </c>
      <c r="C11" s="23">
        <f>(('Financial Statements'!C17-'Financial Statements'!D17)/'Financial Statements'!D17)*100</f>
        <v>13.496948381090307</v>
      </c>
    </row>
    <row r="12" spans="1:4" x14ac:dyDescent="0.2">
      <c r="A12" s="1" t="s">
        <v>154</v>
      </c>
    </row>
    <row r="13" spans="1:4" x14ac:dyDescent="0.2">
      <c r="A13" s="1"/>
    </row>
    <row r="14" spans="1:4" x14ac:dyDescent="0.2">
      <c r="A14" s="17" t="s">
        <v>91</v>
      </c>
    </row>
    <row r="15" spans="1:4" x14ac:dyDescent="0.2">
      <c r="A15" s="1" t="s">
        <v>145</v>
      </c>
      <c r="B15" s="23">
        <f>('Financial Statements'!B91-'Financial Statements'!B108-'Financial Statements'!B110)/'Financial Statements'!B8</f>
        <v>0.52728439268832039</v>
      </c>
      <c r="C15" s="23">
        <f>('Financial Statements'!C91-'Financial Statements'!C108-'Financial Statements'!C110)/'Financial Statements'!C8</f>
        <v>0.44137369231063617</v>
      </c>
      <c r="D15" s="23">
        <f>('Financial Statements'!D91-'Financial Statements'!D108-'Financial Statements'!D110)/'Financial Statements'!D8</f>
        <v>0.46520226581425422</v>
      </c>
    </row>
    <row r="16" spans="1:4" x14ac:dyDescent="0.2">
      <c r="A16" s="1" t="s">
        <v>89</v>
      </c>
      <c r="B16" s="23">
        <f>('Financial Statements'!B8-Instructions!B33)/'Financial Statements'!B8</f>
        <v>0.47271560731167961</v>
      </c>
      <c r="C16" s="23">
        <f>('Financial Statements'!C8-Instructions!C33)/'Financial Statements'!C8</f>
        <v>0.55862630768936383</v>
      </c>
      <c r="D16" s="23">
        <f>('Financial Statements'!D8-Instructions!D33)/'Financial Statements'!D8</f>
        <v>0.53479773418574572</v>
      </c>
    </row>
    <row r="17" spans="1:4" x14ac:dyDescent="0.2">
      <c r="A17" s="1" t="s">
        <v>90</v>
      </c>
      <c r="B17" s="23">
        <f>'Financial Statements'!B17/'Financial Statements'!B8</f>
        <v>0.13020886165831491</v>
      </c>
      <c r="C17" s="23">
        <f>'Financial Statements'!C17/'Financial Statements'!C8</f>
        <v>0.11996982097606181</v>
      </c>
      <c r="D17" s="23">
        <f>'Financial Statements'!D17/'Financial Statements'!D8</f>
        <v>0.14085933373404003</v>
      </c>
    </row>
    <row r="18" spans="1:4" x14ac:dyDescent="0.2">
      <c r="A18" s="1" t="s">
        <v>14</v>
      </c>
      <c r="B18" s="23">
        <f>'Financial Statements'!B18/'Financial Statements'!B8</f>
        <v>0.30288744395528594</v>
      </c>
      <c r="C18" s="23">
        <f>'Financial Statements'!C18/'Financial Statements'!C8</f>
        <v>0.29782377527561593</v>
      </c>
      <c r="D18" s="23">
        <f>'Financial Statements'!D18/'Financial Statements'!D8</f>
        <v>0.24147314354406862</v>
      </c>
    </row>
    <row r="19" spans="1:4" x14ac:dyDescent="0.2">
      <c r="A19" s="1" t="s">
        <v>92</v>
      </c>
      <c r="B19" s="23">
        <f>('Financial Statements'!B8-Instructions!B33-'Financial Statements'!B17-'Financial Statements'!B21-'Financial Statements'!B79)/'Financial Statements'!B8</f>
        <v>0.26540342050272869</v>
      </c>
      <c r="C19" s="23">
        <f>('Financial Statements'!C8-Instructions!C33-'Financial Statements'!C17-'Financial Statements'!C21-'Financial Statements'!C79)/'Financial Statements'!C8</f>
        <v>0.36809935022155887</v>
      </c>
      <c r="D19" s="23">
        <f>('Financial Statements'!D8-Instructions!D33-'Financial Statements'!D17-'Financial Statements'!D21-'Financial Statements'!D79)/'Financial Statements'!D8</f>
        <v>0.3184015445421926</v>
      </c>
    </row>
    <row r="20" spans="1:4" x14ac:dyDescent="0.2">
      <c r="A20" s="1"/>
    </row>
    <row r="21" spans="1:4" x14ac:dyDescent="0.2">
      <c r="A21" s="17" t="s">
        <v>97</v>
      </c>
    </row>
    <row r="22" spans="1:4" x14ac:dyDescent="0.2">
      <c r="A22" s="1" t="s">
        <v>93</v>
      </c>
      <c r="B22" s="23">
        <f>'Financial Statements'!B113/'Financial Statements'!B22</f>
        <v>0.19611634920793963</v>
      </c>
      <c r="C22" s="23">
        <f>'Financial Statements'!C113/'Financial Statements'!C22</f>
        <v>0.26811364596535697</v>
      </c>
      <c r="D22" s="23">
        <f>'Financial Statements'!D113/'Financial Statements'!D22</f>
        <v>0.16549093379317553</v>
      </c>
    </row>
    <row r="23" spans="1:4" x14ac:dyDescent="0.2">
      <c r="A23" s="1" t="s">
        <v>94</v>
      </c>
      <c r="B23" s="23">
        <f>B31/'Financial Statements'!B8</f>
        <v>2.9115355744456391E-2</v>
      </c>
      <c r="C23" s="23">
        <f>C31/'Financial Statements'!C8</f>
        <v>2.0523923163767676E-2</v>
      </c>
      <c r="D23" s="23">
        <f>D31/'Financial Statements'!D8</f>
        <v>1.3649527348232337E-2</v>
      </c>
    </row>
    <row r="24" spans="1:4" x14ac:dyDescent="0.2">
      <c r="A24" s="1" t="s">
        <v>95</v>
      </c>
      <c r="B24" s="23">
        <f>B31/'Financial Statements'!B47</f>
        <v>5.2822636300897167E-2</v>
      </c>
      <c r="C24" s="23">
        <f>C31/'Financial Statements'!C47</f>
        <v>3.4732566638601817E-2</v>
      </c>
      <c r="D24" s="23">
        <f>D31/'Financial Statements'!D47</f>
        <v>2.0796447897877064E-2</v>
      </c>
    </row>
    <row r="25" spans="1:4" x14ac:dyDescent="0.2">
      <c r="A25" s="1"/>
    </row>
    <row r="26" spans="1:4" x14ac:dyDescent="0.2">
      <c r="A26" s="17" t="s">
        <v>143</v>
      </c>
    </row>
    <row r="27" spans="1:4" x14ac:dyDescent="0.2">
      <c r="A27" s="16" t="s">
        <v>142</v>
      </c>
    </row>
    <row r="29" spans="1:4" x14ac:dyDescent="0.2">
      <c r="A29" s="7" t="s">
        <v>146</v>
      </c>
    </row>
    <row r="31" spans="1:4" x14ac:dyDescent="0.2">
      <c r="A31" t="s">
        <v>149</v>
      </c>
      <c r="B31">
        <f>'Financial Statements'!B96-'Financial Statements'!C96+'Financial Statements'!B79</f>
        <v>11481</v>
      </c>
      <c r="C31">
        <f>'Financial Statements'!C96-'Financial Statements'!D96+'Financial Statements'!C79</f>
        <v>7508</v>
      </c>
      <c r="D31">
        <f>'Financial Statements'!D96-'Financial Statements'!E96+'Financial Statements'!D79</f>
        <v>3747</v>
      </c>
    </row>
    <row r="32" spans="1:4" x14ac:dyDescent="0.2">
      <c r="A32" t="s">
        <v>150</v>
      </c>
      <c r="B32">
        <v>150.43</v>
      </c>
      <c r="C32">
        <v>148.97</v>
      </c>
      <c r="D32">
        <v>112</v>
      </c>
    </row>
    <row r="33" spans="1:4" x14ac:dyDescent="0.2">
      <c r="A33" t="s">
        <v>151</v>
      </c>
      <c r="B33" s="23">
        <v>207923</v>
      </c>
      <c r="C33">
        <v>161462</v>
      </c>
      <c r="D33">
        <v>127705</v>
      </c>
    </row>
    <row r="34" spans="1:4" x14ac:dyDescent="0.2">
      <c r="A34" t="s">
        <v>152</v>
      </c>
      <c r="B34" s="23">
        <f>'Financial Statements'!B8-Instructions!B33</f>
        <v>186405</v>
      </c>
      <c r="C34" s="23">
        <f>'Financial Statements'!C8-Instructions!C33</f>
        <v>204355</v>
      </c>
      <c r="D34" s="23">
        <f>'Financial Statements'!D8-Instructions!D33</f>
        <v>146810</v>
      </c>
    </row>
    <row r="37" spans="1:4" x14ac:dyDescent="0.2">
      <c r="A37" s="1" t="s">
        <v>153</v>
      </c>
    </row>
    <row r="38" spans="1:4" x14ac:dyDescent="0.2">
      <c r="A38" s="8" t="s">
        <v>31</v>
      </c>
      <c r="B38" s="23">
        <f>(('Financial Statements'!B42-'Financial Statements'!C42)/'Financial Statements'!C42)*100</f>
        <v>0.42199412619775128</v>
      </c>
      <c r="C38" s="23">
        <f>(('Financial Statements'!C42-'Financial Statements'!D42)/'Financial Statements'!D42)*100</f>
        <v>-6.1768942266879128</v>
      </c>
    </row>
    <row r="39" spans="1:4" x14ac:dyDescent="0.2">
      <c r="A39" s="8" t="s">
        <v>50</v>
      </c>
      <c r="B39" s="23">
        <f>(('Financial Statements'!B47-'Financial Statements'!C47)/'Financial Statements'!C47)*100</f>
        <v>0.54772720964443988</v>
      </c>
      <c r="C39" s="23">
        <f>(('Financial Statements'!C47-'Financial Statements'!D47)/'Financial Statements'!D47)*100</f>
        <v>19.975579297904815</v>
      </c>
    </row>
    <row r="40" spans="1:4" ht="16" thickBot="1" x14ac:dyDescent="0.25">
      <c r="A40" s="9" t="s">
        <v>33</v>
      </c>
      <c r="B40" s="23">
        <f>(('Financial Statements'!B48-'Financial Statements'!C48)/'Financial Statements'!C48)*100</f>
        <v>0.49942735369029234</v>
      </c>
      <c r="C40" s="23">
        <f>(('Financial Statements'!C48-'Financial Statements'!D48)/'Financial Statements'!D48)*100</f>
        <v>8.3714123400681704</v>
      </c>
    </row>
    <row r="41" spans="1:4" ht="16" thickTop="1" x14ac:dyDescent="0.2">
      <c r="A41" s="8" t="s">
        <v>40</v>
      </c>
      <c r="B41" s="23">
        <f>(('Financial Statements'!B56-'Financial Statements'!C56)/'Financial Statements'!C56)*100</f>
        <v>22.713398841258837</v>
      </c>
      <c r="C41" s="23">
        <f>(('Financial Statements'!C56-'Financial Statements'!D56)/'Financial Statements'!D56)*100</f>
        <v>19.061219067860939</v>
      </c>
    </row>
    <row r="42" spans="1:4" x14ac:dyDescent="0.2">
      <c r="A42" s="22" t="s">
        <v>53</v>
      </c>
      <c r="B42" s="23">
        <f>(('Financial Statements'!B61-'Financial Statements'!C61)/'Financial Statements'!C61)*100</f>
        <v>-8.8222075835277742</v>
      </c>
      <c r="C42" s="23">
        <f>(('Financial Statements'!C61-'Financial Statements'!D61)/'Financial Statements'!D61)*100</f>
        <v>6.0552243775994565</v>
      </c>
    </row>
    <row r="43" spans="1:4" x14ac:dyDescent="0.2">
      <c r="A43" s="8" t="s">
        <v>41</v>
      </c>
      <c r="B43" s="23">
        <f>(('Financial Statements'!B62-'Financial Statements'!C62)/'Financial Statements'!C62)*100</f>
        <v>4.9219900525160467</v>
      </c>
      <c r="C43" s="23">
        <f>(('Financial Statements'!C62-'Financial Statements'!D62)/'Financial Statements'!D62)*100</f>
        <v>11.356841449783213</v>
      </c>
    </row>
    <row r="44" spans="1:4" x14ac:dyDescent="0.2">
      <c r="A44" s="8" t="s">
        <v>45</v>
      </c>
      <c r="B44" s="23">
        <f>(('Financial Statements'!B68-'Financial Statements'!C68)/'Financial Statements'!C68)*100</f>
        <v>-19.682992550324933</v>
      </c>
      <c r="C44" s="23">
        <f>(('Financial Statements'!C68-'Financial Statements'!D68)/'Financial Statements'!D68)*100</f>
        <v>-3.4420483937617661</v>
      </c>
    </row>
    <row r="45" spans="1:4" ht="16" thickBot="1" x14ac:dyDescent="0.25">
      <c r="A45" s="9" t="s">
        <v>46</v>
      </c>
      <c r="B45" s="23">
        <f>(('Financial Statements'!B69-'Financial Statements'!C69)/'Financial Statements'!C69)*100</f>
        <v>0.49942735369029234</v>
      </c>
      <c r="C45" s="23">
        <f>(('Financial Statements'!C69-'Financial Statements'!D69)/'Financial Statements'!D69)*100</f>
        <v>8.3714123400681704</v>
      </c>
    </row>
    <row r="46" spans="1:4" ht="16" thickTop="1" x14ac:dyDescent="0.2"/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zoomScale="150" zoomScaleNormal="150" workbookViewId="0">
      <selection activeCell="A69" sqref="A69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7" t="s">
        <v>1</v>
      </c>
      <c r="B2" s="27"/>
      <c r="C2" s="27"/>
      <c r="D2" s="27"/>
    </row>
    <row r="3" spans="1:10" x14ac:dyDescent="0.2">
      <c r="B3" s="26" t="s">
        <v>23</v>
      </c>
      <c r="C3" s="26"/>
      <c r="D3" s="26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7" t="s">
        <v>24</v>
      </c>
      <c r="B31" s="27"/>
      <c r="C31" s="27"/>
      <c r="D31" s="27"/>
    </row>
    <row r="32" spans="1:4" x14ac:dyDescent="0.2">
      <c r="B32" s="26" t="s">
        <v>141</v>
      </c>
      <c r="C32" s="26"/>
      <c r="D32" s="26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7" t="s">
        <v>55</v>
      </c>
      <c r="B71" s="27"/>
      <c r="C71" s="27"/>
      <c r="D71" s="27"/>
    </row>
    <row r="72" spans="1:4" x14ac:dyDescent="0.2">
      <c r="B72" s="26" t="s">
        <v>23</v>
      </c>
      <c r="C72" s="26"/>
      <c r="D72" s="26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36" zoomScale="170" zoomScaleNormal="170" workbookViewId="0">
      <selection activeCell="C42" sqref="C42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2.1640625" bestFit="1" customWidth="1"/>
    <col min="4" max="4" width="10.83203125" bestFit="1" customWidth="1"/>
    <col min="5" max="5" width="10.6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6" t="s">
        <v>23</v>
      </c>
      <c r="D2" s="26"/>
      <c r="E2" s="26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98</v>
      </c>
    </row>
    <row r="5" spans="1:10" x14ac:dyDescent="0.2">
      <c r="A5" s="18">
        <f>+A4+0.1</f>
        <v>1.1000000000000001</v>
      </c>
      <c r="B5" s="1" t="s">
        <v>99</v>
      </c>
      <c r="C5" s="23">
        <f>'Financial Statements'!B42/'Financial Statements'!B56</f>
        <v>0.87935602862672257</v>
      </c>
      <c r="D5" s="23">
        <f>'Financial Statements'!C42/'Financial Statements'!C56</f>
        <v>1.0745531195957954</v>
      </c>
      <c r="E5" s="23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100</v>
      </c>
      <c r="C6" s="23">
        <f>('Financial Statements'!B36+'Financial Statements'!B37+'Financial Statements'!B38)/'Financial Statements'!B56</f>
        <v>0.49673338442155579</v>
      </c>
      <c r="D6" s="23">
        <f>('Financial Statements'!C36+'Financial Statements'!C37+'Financial Statements'!C38)/'Financial Statements'!C56</f>
        <v>0.70860927152317876</v>
      </c>
      <c r="E6" s="23">
        <f>('Financial Statements'!D36+'Financial Statements'!D37+'Financial Statements'!D38)/'Financial Statements'!D56</f>
        <v>1.0158550933657204</v>
      </c>
    </row>
    <row r="7" spans="1:10" x14ac:dyDescent="0.2">
      <c r="A7" s="18">
        <f t="shared" si="0"/>
        <v>1.3000000000000003</v>
      </c>
      <c r="B7" s="1" t="s">
        <v>101</v>
      </c>
      <c r="C7" s="23">
        <f>('Financial Statements'!B36+'Financial Statements'!B37)/'Financial Statements'!B56</f>
        <v>0.31369900377966253</v>
      </c>
      <c r="D7" s="23">
        <f>('Financial Statements'!C36+'Financial Statements'!C37)/'Financial Statements'!C56</f>
        <v>0.49919111259872012</v>
      </c>
      <c r="E7" s="23">
        <f>('Financial Statements'!D36+'Financial Statements'!D37)/'Financial Statements'!D56</f>
        <v>0.86290230757552755</v>
      </c>
    </row>
    <row r="8" spans="1:10" x14ac:dyDescent="0.2">
      <c r="A8" s="18">
        <f t="shared" si="0"/>
        <v>1.4000000000000004</v>
      </c>
      <c r="B8" s="1" t="s">
        <v>102</v>
      </c>
      <c r="C8" s="23">
        <f>('Financial Statements'!B36+'Financial Statements'!B37+'Financial Statements'!B38)/('Financial Statements'!B17/365)</f>
        <v>543.73590417762193</v>
      </c>
      <c r="D8" s="23">
        <f>('Financial Statements'!C36+'Financial Statements'!C37+'Financial Statements'!C38)/('Financial Statements'!C17/365)</f>
        <v>739.50611798482464</v>
      </c>
      <c r="E8" s="23">
        <f>('Financial Statements'!D36+'Financial Statements'!D37+'Financial Statements'!D38)/('Financial Statements'!D17/365)</f>
        <v>1010.6029533464364</v>
      </c>
    </row>
    <row r="9" spans="1:10" x14ac:dyDescent="0.2">
      <c r="A9" s="18">
        <f t="shared" si="0"/>
        <v>1.5000000000000004</v>
      </c>
      <c r="B9" s="1" t="s">
        <v>103</v>
      </c>
      <c r="C9" s="23">
        <f>((('Financial Statements'!B39+'Financial Statements'!C39)/2)/Instructions!B33)*365</f>
        <v>10.11670185597553</v>
      </c>
      <c r="D9" s="23">
        <f>((('Financial Statements'!C39+'Financial Statements'!D39)/2)/Instructions!C33)*365</f>
        <v>12.027489440239808</v>
      </c>
      <c r="E9" s="23">
        <f>((('Financial Statements'!D39+'Financial Statements'!E39)/2)/Instructions!D33)*365</f>
        <v>5.8034728475784032</v>
      </c>
    </row>
    <row r="10" spans="1:10" x14ac:dyDescent="0.2">
      <c r="A10" s="18">
        <f t="shared" si="0"/>
        <v>1.6000000000000005</v>
      </c>
      <c r="B10" s="1" t="s">
        <v>104</v>
      </c>
      <c r="C10" s="23">
        <f>((('Financial Statements'!B51+'Financial Statements'!C51)/2)/Instructions!B33)*365</f>
        <v>104.34264126623799</v>
      </c>
      <c r="D10" s="23">
        <f>((('Financial Statements'!C51+'Financial Statements'!D51)/2)/Instructions!C33)*365</f>
        <v>109.70548797859558</v>
      </c>
      <c r="E10" s="23">
        <f>((('Financial Statements'!D51+'Financial Statements'!E51)/2)/Instructions!D33)*365</f>
        <v>60.444148623781366</v>
      </c>
    </row>
    <row r="11" spans="1:10" x14ac:dyDescent="0.2">
      <c r="A11" s="18">
        <f t="shared" si="0"/>
        <v>1.7000000000000006</v>
      </c>
      <c r="B11" s="1" t="s">
        <v>105</v>
      </c>
      <c r="C11" s="23">
        <f>(((('Financial Statements'!B38+'Financial Statements'!C38)/2))/'Financial Statements'!B8)*365</f>
        <v>25.205704388225033</v>
      </c>
      <c r="D11" s="23">
        <f>(((('Financial Statements'!C38+'Financial Statements'!D38)/2))/'Financial Statements'!C8)*365</f>
        <v>21.151655062503931</v>
      </c>
      <c r="E11" s="23">
        <f>(((('Financial Statements'!D38+'Financial Statements'!E38)/2))/'Financial Statements'!D8)*365</f>
        <v>10.716718576398375</v>
      </c>
    </row>
    <row r="12" spans="1:10" x14ac:dyDescent="0.2">
      <c r="A12" s="18">
        <f t="shared" si="0"/>
        <v>1.8000000000000007</v>
      </c>
      <c r="B12" s="1" t="s">
        <v>106</v>
      </c>
      <c r="C12" s="23">
        <f>C9+C11-C10</f>
        <v>-69.020235022037426</v>
      </c>
      <c r="D12" s="23">
        <f t="shared" ref="D12:E12" si="1">D9+D11-D10</f>
        <v>-76.526343475851846</v>
      </c>
      <c r="E12" s="23">
        <f t="shared" si="1"/>
        <v>-43.92395719980459</v>
      </c>
    </row>
    <row r="13" spans="1:10" x14ac:dyDescent="0.2">
      <c r="A13" s="18">
        <f t="shared" si="0"/>
        <v>1.9000000000000008</v>
      </c>
      <c r="B13" s="1" t="s">
        <v>107</v>
      </c>
      <c r="C13" s="23">
        <f>(C14/'Financial Statements'!B8)*100</f>
        <v>-4.7110527276784806</v>
      </c>
      <c r="D13" s="23">
        <f>(D14/'Financial Statements'!C8)*100</f>
        <v>2.5572895737486232</v>
      </c>
      <c r="E13" s="23">
        <f>(E14/'Financial Statements'!D8)*100</f>
        <v>13.959528623208204</v>
      </c>
    </row>
    <row r="14" spans="1:10" x14ac:dyDescent="0.2">
      <c r="A14" s="18"/>
      <c r="B14" s="3" t="s">
        <v>108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109</v>
      </c>
    </row>
    <row r="17" spans="1:5" x14ac:dyDescent="0.2">
      <c r="A17" s="18">
        <f>+A16+0.1</f>
        <v>2.1</v>
      </c>
      <c r="B17" s="1" t="s">
        <v>9</v>
      </c>
      <c r="C17" s="25">
        <f>'Financial Statements'!B8-'Financial Statements'!B12</f>
        <v>170782</v>
      </c>
      <c r="D17" s="25">
        <f>'Financial Statements'!C8-'Financial Statements'!C12</f>
        <v>152836</v>
      </c>
      <c r="E17" s="24">
        <f>'Financial Statements'!D8-'Financial Statements'!D12</f>
        <v>104956</v>
      </c>
    </row>
    <row r="18" spans="1:5" x14ac:dyDescent="0.2">
      <c r="A18" s="18">
        <f>+A17+0.1</f>
        <v>2.2000000000000002</v>
      </c>
      <c r="B18" s="1" t="s">
        <v>110</v>
      </c>
      <c r="C18" s="23">
        <f>(C19/'Financial Statements'!B8)*100</f>
        <v>33.815757440506381</v>
      </c>
      <c r="D18" s="23">
        <f>(D19/'Financial Statements'!C8)*100</f>
        <v>36.640178012503519</v>
      </c>
      <c r="E18" s="23">
        <f>(E19/'Financial Statements'!D8)*100</f>
        <v>29.495655975083331</v>
      </c>
    </row>
    <row r="19" spans="1:5" x14ac:dyDescent="0.2">
      <c r="A19" s="18"/>
      <c r="B19" s="3" t="s">
        <v>111</v>
      </c>
      <c r="C19">
        <f>'Financial Statements'!B22+'Financial Statements'!B114+'Financial Statements'!B113+'Financial Statements'!B79</f>
        <v>133345</v>
      </c>
      <c r="D19">
        <f>'Financial Statements'!C22+'Financial Statements'!C114+'Financial Statements'!C113+'Financial Statements'!C79</f>
        <v>134036</v>
      </c>
      <c r="E19">
        <f>'Financial Statements'!D22+'Financial Statements'!D114+'Financial Statements'!D113+'Financial Statements'!D79</f>
        <v>80970</v>
      </c>
    </row>
    <row r="20" spans="1:5" x14ac:dyDescent="0.2">
      <c r="A20" s="18">
        <f>+A18+0.1</f>
        <v>2.3000000000000003</v>
      </c>
      <c r="B20" s="1" t="s">
        <v>112</v>
      </c>
      <c r="C20" s="23">
        <f>(C21/'Financial Statements'!B8)*100</f>
        <v>30.999827554726018</v>
      </c>
      <c r="D20" s="23">
        <f>(D21/'Financial Statements'!C8)*100</f>
        <v>33.555575602008652</v>
      </c>
      <c r="E20" s="23">
        <f>(E21/'Financial Statements'!D8)*100</f>
        <v>25.468189352130121</v>
      </c>
    </row>
    <row r="21" spans="1:5" x14ac:dyDescent="0.2">
      <c r="A21" s="18"/>
      <c r="B21" s="3" t="s">
        <v>113</v>
      </c>
      <c r="C21">
        <f>'Financial Statements'!B22+'Financial Statements'!B114+'Financial Statements'!B113</f>
        <v>122241</v>
      </c>
      <c r="D21">
        <f>'Financial Statements'!C22+'Financial Statements'!C114+'Financial Statements'!C113</f>
        <v>122752</v>
      </c>
      <c r="E21">
        <f>'Financial Statements'!D22+'Financial Statements'!D114+'Financial Statements'!D113</f>
        <v>69914</v>
      </c>
    </row>
    <row r="22" spans="1:5" x14ac:dyDescent="0.2">
      <c r="A22" s="18">
        <f>+A20+0.1</f>
        <v>2.4000000000000004</v>
      </c>
      <c r="B22" s="1" t="s">
        <v>114</v>
      </c>
      <c r="C22" s="23">
        <f>('Financial Statements'!B22/'Financial Statements'!B8)*100</f>
        <v>25.309640705199733</v>
      </c>
      <c r="D22" s="23">
        <f>('Financial Statements'!C22/'Financial Statements'!C8)*100</f>
        <v>25.881793355694239</v>
      </c>
      <c r="E22" s="23">
        <f>('Financial Statements'!D22/'Financial Statements'!D8)*100</f>
        <v>20.913611278072235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115</v>
      </c>
    </row>
    <row r="25" spans="1:5" x14ac:dyDescent="0.2">
      <c r="A25" s="18">
        <f>+A24+0.1</f>
        <v>3.1</v>
      </c>
      <c r="B25" s="1" t="s">
        <v>116</v>
      </c>
      <c r="C25" s="23">
        <f>'Financial Statements'!B62/('Financial Statements'!B68)</f>
        <v>5.9615369434796337</v>
      </c>
      <c r="D25" s="23">
        <f>'Financial Statements'!C62/('Financial Statements'!C68)</f>
        <v>4.5635124425423994</v>
      </c>
      <c r="E25" s="23">
        <f>'Financial Statements'!D62/('Financial Statements'!D68)</f>
        <v>3.9570394404566951</v>
      </c>
    </row>
    <row r="26" spans="1:5" x14ac:dyDescent="0.2">
      <c r="A26" s="18">
        <f t="shared" ref="A26:A30" si="2">+A25+0.1</f>
        <v>3.2</v>
      </c>
      <c r="B26" s="1" t="s">
        <v>117</v>
      </c>
      <c r="C26" s="23">
        <f>'Financial Statements'!B56/'Financial Statements'!B48</f>
        <v>0.43651259372652407</v>
      </c>
      <c r="D26" s="23">
        <f>'Financial Statements'!C56/'Financial Statements'!C48</f>
        <v>0.35749368949464677</v>
      </c>
      <c r="E26" s="23">
        <f>'Financial Statements'!D56/'Financial Statements'!D48</f>
        <v>0.32539643333497997</v>
      </c>
    </row>
    <row r="27" spans="1:5" x14ac:dyDescent="0.2">
      <c r="A27" s="18">
        <f t="shared" si="2"/>
        <v>3.3000000000000003</v>
      </c>
      <c r="B27" s="1" t="s">
        <v>118</v>
      </c>
      <c r="C27" s="23">
        <f>'Financial Statements'!B61/('Financial Statements'!B61+'Financial Statements'!B68)</f>
        <v>0.74507604151469264</v>
      </c>
      <c r="D27" s="23">
        <f>'Financial Statements'!C61/('Financial Statements'!C61+'Financial Statements'!C68)</f>
        <v>0.72024778180302496</v>
      </c>
      <c r="E27" s="23">
        <f>'Financial Statements'!D61/('Financial Statements'!D61+'Financial Statements'!D68)</f>
        <v>0.70096020064440534</v>
      </c>
    </row>
    <row r="28" spans="1:5" x14ac:dyDescent="0.2">
      <c r="A28" s="18">
        <f t="shared" si="2"/>
        <v>3.4000000000000004</v>
      </c>
      <c r="B28" s="1" t="s">
        <v>119</v>
      </c>
      <c r="C28" s="23">
        <f>C21/'Financial Statements'!B114</f>
        <v>42.667015706806282</v>
      </c>
      <c r="D28" s="23">
        <f>D21/'Financial Statements'!C114</f>
        <v>45.683662076665428</v>
      </c>
      <c r="E28" s="23">
        <f>E21/'Financial Statements'!D114</f>
        <v>23.289140572951364</v>
      </c>
    </row>
    <row r="29" spans="1:5" x14ac:dyDescent="0.2">
      <c r="A29" s="18">
        <f t="shared" si="2"/>
        <v>3.5000000000000004</v>
      </c>
      <c r="B29" s="1" t="s">
        <v>120</v>
      </c>
      <c r="C29" s="23">
        <f>C19/('Financial Statements'!B55+'Financial Statements'!B59)</f>
        <v>1.2112692688509996</v>
      </c>
      <c r="D29" s="23">
        <f>D19/('Financial Statements'!C55+'Financial Statements'!C59)</f>
        <v>1.1290189438927214</v>
      </c>
      <c r="E29" s="23">
        <f>E19/('Financial Statements'!D55+'Financial Statements'!D59)</f>
        <v>0.75362993298585257</v>
      </c>
    </row>
    <row r="30" spans="1:5" x14ac:dyDescent="0.2">
      <c r="A30" s="18">
        <f t="shared" si="2"/>
        <v>3.6000000000000005</v>
      </c>
      <c r="B30" s="1" t="s">
        <v>121</v>
      </c>
      <c r="C30">
        <f>C31/'Financial Statements'!B27</f>
        <v>5.4559818618234394E-3</v>
      </c>
      <c r="D30">
        <f>D31/'Financial Statements'!C27</f>
        <v>5.6639997240928719E-3</v>
      </c>
      <c r="E30">
        <f>E31/'Financial Statements'!D27</f>
        <v>3.1284363598474631E-3</v>
      </c>
    </row>
    <row r="31" spans="1:5" x14ac:dyDescent="0.2">
      <c r="A31" s="18"/>
      <c r="B31" s="3" t="s">
        <v>122</v>
      </c>
      <c r="C31">
        <f>('Financial Statements'!B22+'Financial Statements'!B79+'Financial Statements'!B109)-Instructions!B31</f>
        <v>88474</v>
      </c>
      <c r="D31">
        <f>('Financial Statements'!C22+'Financial Statements'!C79+'Financial Statements'!C109)-Instructions!C31</f>
        <v>94596</v>
      </c>
      <c r="E31">
        <f>('Financial Statements'!D22+'Financial Statements'!D79+'Financial Statements'!D109)-Instructions!D31</f>
        <v>54285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123</v>
      </c>
    </row>
    <row r="34" spans="1:5" x14ac:dyDescent="0.2">
      <c r="A34" s="18">
        <f>+A33+0.1</f>
        <v>4.0999999999999996</v>
      </c>
      <c r="B34" s="1" t="s">
        <v>124</v>
      </c>
      <c r="C34" s="23">
        <f>'Financial Statements'!B8/(('Financial Statements'!B42+'Financial Statements'!B84+'Financial Statements'!B85+'Financial Statements'!B86+'Financial Statements'!B87)/2)</f>
        <v>6.5152874503292111</v>
      </c>
      <c r="D34" s="23">
        <f>'Financial Statements'!C8/(('Financial Statements'!C42+'Financial Statements'!C84+'Financial Statements'!C85+'Financial Statements'!C86+'Financial Statements'!C87)/2)</f>
        <v>6.643728887435981</v>
      </c>
      <c r="E34" s="23">
        <f>'Financial Statements'!D8/(('Financial Statements'!D42+'Financial Statements'!D84+'Financial Statements'!D85+'Financial Statements'!D86+'Financial Statements'!D87)/2)</f>
        <v>3.8537074992278968</v>
      </c>
    </row>
    <row r="35" spans="1:5" x14ac:dyDescent="0.2">
      <c r="A35" s="18">
        <f t="shared" ref="A35:A37" si="3">+A34+0.1</f>
        <v>4.1999999999999993</v>
      </c>
      <c r="B35" s="1" t="s">
        <v>125</v>
      </c>
      <c r="C35" s="23">
        <f>'Financial Statements'!B8/('Financial Statements'!B45)</f>
        <v>9.3626801529073767</v>
      </c>
      <c r="D35" s="23">
        <f>'Financial Statements'!C8/('Financial Statements'!C45)</f>
        <v>9.2752789046653152</v>
      </c>
      <c r="E35" s="23">
        <f>'Financial Statements'!D8/('Financial Statements'!D45)</f>
        <v>7.4665451776097482</v>
      </c>
    </row>
    <row r="36" spans="1:5" x14ac:dyDescent="0.2">
      <c r="A36" s="18">
        <f t="shared" si="3"/>
        <v>4.2999999999999989</v>
      </c>
      <c r="B36" s="1" t="s">
        <v>126</v>
      </c>
      <c r="C36" s="23">
        <f>Instructions!B15/'Financial Statements'!B39</f>
        <v>1.066082476118723E-4</v>
      </c>
      <c r="D36" s="23">
        <f>Instructions!C15/'Financial Statements'!C39</f>
        <v>6.7078068740218267E-5</v>
      </c>
      <c r="E36" s="23">
        <f>Instructions!D15/'Financial Statements'!D39</f>
        <v>1.1455362369225664E-4</v>
      </c>
    </row>
    <row r="37" spans="1:5" x14ac:dyDescent="0.2">
      <c r="A37" s="18">
        <f t="shared" si="3"/>
        <v>4.3999999999999986</v>
      </c>
      <c r="B37" s="1" t="s">
        <v>127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128</v>
      </c>
    </row>
    <row r="40" spans="1:5" x14ac:dyDescent="0.2">
      <c r="A40" s="18">
        <f>+A39+0.1</f>
        <v>5.0999999999999996</v>
      </c>
      <c r="B40" s="1" t="s">
        <v>129</v>
      </c>
      <c r="C40" s="23">
        <f>Instructions!B32/'List of Ratios'!C41</f>
        <v>24.460162601626017</v>
      </c>
      <c r="D40" s="23">
        <f>Instructions!C32/'List of Ratios'!D41</f>
        <v>26.27336860670194</v>
      </c>
      <c r="E40" s="23">
        <f>Instructions!D32/'List of Ratios'!E41</f>
        <v>33.836858006042299</v>
      </c>
    </row>
    <row r="41" spans="1:5" x14ac:dyDescent="0.2">
      <c r="A41" s="18">
        <f t="shared" ref="A41:A44" si="4">+A40+0.1</f>
        <v>5.1999999999999993</v>
      </c>
      <c r="B41" s="3" t="s">
        <v>130</v>
      </c>
      <c r="C41">
        <v>6.15</v>
      </c>
      <c r="D41">
        <v>5.67</v>
      </c>
      <c r="E41">
        <v>3.31</v>
      </c>
    </row>
    <row r="42" spans="1:5" x14ac:dyDescent="0.2">
      <c r="A42" s="18">
        <f t="shared" si="4"/>
        <v>5.2999999999999989</v>
      </c>
      <c r="B42" s="1" t="s">
        <v>131</v>
      </c>
      <c r="C42">
        <f>Instructions!B32/'List of Ratios'!C43</f>
        <v>48140.340110712037</v>
      </c>
      <c r="D42">
        <f>Instructions!C32/'List of Ratios'!D43</f>
        <v>39435.544299255031</v>
      </c>
      <c r="E42">
        <f>Instructions!D32/'List of Ratios'!E43</f>
        <v>29743.909885367088</v>
      </c>
    </row>
    <row r="43" spans="1:5" x14ac:dyDescent="0.2">
      <c r="A43" s="18">
        <f t="shared" si="4"/>
        <v>5.3999999999999986</v>
      </c>
      <c r="B43" s="3" t="s">
        <v>132</v>
      </c>
      <c r="C43">
        <f>('Financial Statements'!B48-'Financial Statements'!B62)/'Financial Statements'!B27</f>
        <v>3.124822127430853E-3</v>
      </c>
      <c r="D43">
        <f>('Financial Statements'!C48-'Financial Statements'!C62)/'Financial Statements'!C27</f>
        <v>3.7775565837141027E-3</v>
      </c>
      <c r="E43">
        <f>('Financial Statements'!D48-'Financial Statements'!D62)/'Financial Statements'!D27</f>
        <v>3.7654767120949319E-3</v>
      </c>
    </row>
    <row r="44" spans="1:5" x14ac:dyDescent="0.2">
      <c r="A44" s="18">
        <f t="shared" si="4"/>
        <v>5.4999999999999982</v>
      </c>
      <c r="B44" s="1" t="s">
        <v>133</v>
      </c>
      <c r="C44">
        <f>C45/C41</f>
        <v>1.4881451886066322E-4</v>
      </c>
      <c r="D44">
        <f t="shared" ref="D44:E44" si="5">D45/D41</f>
        <v>1.5277274199029781E-4</v>
      </c>
      <c r="E44">
        <f t="shared" si="5"/>
        <v>2.4516190500128212E-4</v>
      </c>
    </row>
    <row r="45" spans="1:5" x14ac:dyDescent="0.2">
      <c r="A45" s="18"/>
      <c r="B45" s="3" t="s">
        <v>134</v>
      </c>
      <c r="C45">
        <f>-'Financial Statements'!B102/'Financial Statements'!B27</f>
        <v>9.1520929099307886E-4</v>
      </c>
      <c r="D45">
        <f>-'Financial Statements'!C102/'Financial Statements'!C27</f>
        <v>8.6622144708498852E-4</v>
      </c>
      <c r="E45">
        <f>-'Financial Statements'!D102/'Financial Statements'!D27</f>
        <v>8.1148590555424381E-4</v>
      </c>
    </row>
    <row r="46" spans="1:5" x14ac:dyDescent="0.2">
      <c r="A46" s="18">
        <f>+A44+0.1</f>
        <v>5.5999999999999979</v>
      </c>
      <c r="B46" s="1" t="s">
        <v>135</v>
      </c>
      <c r="C46">
        <f>(C45/Instructions!B32)*100</f>
        <v>6.0839546034240435E-4</v>
      </c>
      <c r="D46">
        <f>(D45/Instructions!C32)*100</f>
        <v>5.8147375114787447E-4</v>
      </c>
      <c r="E46">
        <f>(E45/Instructions!D32)*100</f>
        <v>7.2454098710200341E-4</v>
      </c>
    </row>
    <row r="47" spans="1:5" x14ac:dyDescent="0.2">
      <c r="A47" s="18">
        <f t="shared" ref="A47:A50" si="6">+A45+0.1</f>
        <v>0.1</v>
      </c>
      <c r="B47" s="1" t="s">
        <v>136</v>
      </c>
      <c r="C47" s="23">
        <f>('Financial Statements'!B22/'Financial Statements'!B68)*100</f>
        <v>196.95887275023682</v>
      </c>
      <c r="D47" s="23">
        <f>('Financial Statements'!C22/'Financial Statements'!C68)*100</f>
        <v>150.07132667617688</v>
      </c>
      <c r="E47" s="23">
        <f>('Financial Statements'!D22/'Financial Statements'!D68)*100</f>
        <v>87.866358530127485</v>
      </c>
    </row>
    <row r="48" spans="1:5" x14ac:dyDescent="0.2">
      <c r="A48" s="18">
        <f t="shared" si="6"/>
        <v>5.6999999999999975</v>
      </c>
      <c r="B48" s="1" t="s">
        <v>137</v>
      </c>
      <c r="C48" s="23">
        <f>C21/('Financial Statements'!B48-'Financial Statements'!B56)</f>
        <v>0.61497788935116937</v>
      </c>
      <c r="D48" s="23">
        <f>D21/('Financial Statements'!C48-'Financial Statements'!C56)</f>
        <v>0.54430407811245962</v>
      </c>
      <c r="E48" s="23">
        <f>E21/('Financial Statements'!D48-'Financial Statements'!D56)</f>
        <v>0.31997839777387227</v>
      </c>
    </row>
    <row r="49" spans="1:5" x14ac:dyDescent="0.2">
      <c r="A49" s="18">
        <f t="shared" si="6"/>
        <v>0.2</v>
      </c>
      <c r="B49" s="1" t="s">
        <v>127</v>
      </c>
      <c r="C49" s="23">
        <f>'Financial Statements'!B22/'Financial Statements'!B48</f>
        <v>0.28292440929256851</v>
      </c>
      <c r="D49" s="23">
        <f>'Financial Statements'!C22/'Financial Statements'!C48</f>
        <v>0.26974205275183616</v>
      </c>
      <c r="E49" s="23">
        <f>'Financial Statements'!D22/'Financial Statements'!D48</f>
        <v>0.1772557180259843</v>
      </c>
    </row>
    <row r="50" spans="1:5" x14ac:dyDescent="0.2">
      <c r="A50" s="18">
        <f t="shared" si="6"/>
        <v>5.7999999999999972</v>
      </c>
      <c r="B50" s="1" t="s">
        <v>138</v>
      </c>
      <c r="C50">
        <f>C51/C19</f>
        <v>18294.292430087367</v>
      </c>
      <c r="D50">
        <f t="shared" ref="D50:E50" si="7">D51/D19</f>
        <v>18562.709121728491</v>
      </c>
      <c r="E50">
        <f t="shared" si="7"/>
        <v>24002.778547610225</v>
      </c>
    </row>
    <row r="51" spans="1:5" x14ac:dyDescent="0.2">
      <c r="A51" s="18"/>
      <c r="B51" s="3" t="s">
        <v>139</v>
      </c>
      <c r="C51">
        <f>(Instructions!B32*'Financial Statements'!B27)+'Financial Statements'!B55+'Financial Statements'!B59-'Financial Statements'!B110</f>
        <v>2439452424.0900002</v>
      </c>
      <c r="D51">
        <f>(Instructions!C32*'Financial Statements'!C27)+'Financial Statements'!C55+'Financial Statements'!C59-'Financial Statements'!C110</f>
        <v>2488071279.8400002</v>
      </c>
      <c r="E51">
        <f>(Instructions!D32*'Financial Statements'!D27)+'Financial Statements'!D55+'Financial Statements'!D59-'Financial Statements'!D110</f>
        <v>1943504979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Thandi, Veer</cp:lastModifiedBy>
  <dcterms:created xsi:type="dcterms:W3CDTF">2020-05-18T16:32:37Z</dcterms:created>
  <dcterms:modified xsi:type="dcterms:W3CDTF">2024-07-19T13:42:55Z</dcterms:modified>
</cp:coreProperties>
</file>