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veer/Documents/Quill_Capital/"/>
    </mc:Choice>
  </mc:AlternateContent>
  <xr:revisionPtr revIDLastSave="0" documentId="13_ncr:1_{F5898F6C-EDCA-FE47-8DF3-05C502DAF69E}" xr6:coauthVersionLast="47" xr6:coauthVersionMax="47" xr10:uidLastSave="{00000000-0000-0000-0000-000000000000}"/>
  <bookViews>
    <workbookView xWindow="-6200" yWindow="-21100" windowWidth="17500" windowHeight="1928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3" l="1"/>
  <c r="C18" i="3"/>
  <c r="D51" i="3"/>
  <c r="D50" i="3" s="1"/>
  <c r="C50" i="3"/>
  <c r="D48" i="3"/>
  <c r="C48" i="3"/>
  <c r="D47" i="3"/>
  <c r="C47" i="3"/>
  <c r="D43" i="3"/>
  <c r="C43" i="3"/>
  <c r="D42" i="3"/>
  <c r="C42" i="3"/>
  <c r="D41" i="3"/>
  <c r="C41" i="3"/>
  <c r="D40" i="3"/>
  <c r="C40" i="3"/>
  <c r="D37" i="3"/>
  <c r="C37" i="3"/>
  <c r="D36" i="3"/>
  <c r="C36" i="3"/>
  <c r="D35" i="3"/>
  <c r="C35" i="3"/>
  <c r="D34" i="3"/>
  <c r="C34" i="3"/>
  <c r="C30" i="3"/>
  <c r="D31" i="3"/>
  <c r="D30" i="3" s="1"/>
  <c r="C31" i="3"/>
  <c r="D29" i="3"/>
  <c r="C29" i="3"/>
  <c r="D28" i="3"/>
  <c r="C28" i="3"/>
  <c r="D27" i="3"/>
  <c r="C27" i="3"/>
  <c r="D26" i="3"/>
  <c r="C26" i="3"/>
  <c r="C25" i="3"/>
  <c r="D25" i="3"/>
  <c r="D22" i="3"/>
  <c r="C22" i="3"/>
  <c r="D20" i="3"/>
  <c r="C20" i="3"/>
  <c r="D21" i="3"/>
  <c r="C21" i="3"/>
  <c r="D18" i="3"/>
  <c r="D19" i="3"/>
  <c r="C19" i="3"/>
  <c r="D17" i="3"/>
  <c r="C17" i="3"/>
  <c r="D13" i="3"/>
  <c r="C13" i="3"/>
  <c r="D14" i="3"/>
  <c r="C14" i="3"/>
  <c r="D11" i="3"/>
  <c r="C11" i="3"/>
  <c r="D10" i="3"/>
  <c r="C10" i="3"/>
  <c r="D9" i="3"/>
  <c r="D12" i="3" s="1"/>
  <c r="C9" i="3"/>
  <c r="C12" i="3" s="1"/>
  <c r="C91" i="2"/>
  <c r="B91" i="2"/>
  <c r="C98" i="2"/>
  <c r="B98" i="2"/>
  <c r="D8" i="3" l="1"/>
  <c r="C8" i="3"/>
  <c r="D7" i="3"/>
  <c r="C7" i="3"/>
  <c r="D6" i="3"/>
  <c r="C6" i="3"/>
  <c r="D5" i="3"/>
  <c r="C5" i="3"/>
  <c r="C62" i="2"/>
  <c r="C61" i="2"/>
  <c r="C47" i="2"/>
  <c r="B61" i="2"/>
  <c r="B62" i="2" s="1"/>
  <c r="B47" i="2"/>
  <c r="C8" i="2"/>
  <c r="A47" i="3" l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<sst xmlns="http://schemas.openxmlformats.org/spreadsheetml/2006/main" count="168" uniqueCount="148">
  <si>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</si>
  <si>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</si>
  <si>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</si>
  <si>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</si>
  <si>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</si>
  <si>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</si>
  <si>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</si>
  <si>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</si>
  <si>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</si>
  <si>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</si>
  <si>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</si>
  <si>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</si>
  <si>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</si>
  <si>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</si>
  <si>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</si>
  <si>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</si>
  <si>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</si>
  <si>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</si>
  <si>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</si>
  <si>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</si>
  <si>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</si>
  <si>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</si>
  <si>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</si>
  <si>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</si>
  <si>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</si>
  <si>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</si>
  <si>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</si>
  <si>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</si>
  <si>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</si>
  <si>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</si>
  <si>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</si>
  <si>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</si>
  <si>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</si>
  <si>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</si>
  <si>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</si>
  <si>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</si>
  <si>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</si>
  <si>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</si>
  <si>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</si>
  <si>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</si>
  <si>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</si>
  <si>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</si>
  <si>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</si>
  <si>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</si>
  <si>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</si>
  <si>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</si>
  <si>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</si>
  <si>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</si>
  <si>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</si>
  <si>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</si>
  <si>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</si>
  <si>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</si>
  <si>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</si>
  <si>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</si>
  <si>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</si>
  <si>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</si>
  <si>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</si>
  <si>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</si>
  <si>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</si>
  <si>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</si>
  <si>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</si>
  <si>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</si>
  <si>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</si>
  <si>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Apple Inc.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</si>
  <si>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</si>
  <si>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</si>
  <si>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</si>
  <si>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</si>
  <si>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</si>
  <si>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</si>
  <si>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</si>
  <si>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</si>
  <si>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</si>
  <si>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</si>
  <si>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</si>
  <si>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</si>
  <si>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</si>
  <si>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</si>
  <si>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</si>
  <si>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</si>
  <si>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</si>
  <si>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</si>
  <si>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</si>
  <si>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</si>
  <si>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</si>
  <si>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</si>
  <si>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</si>
  <si>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</si>
  <si>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</si>
  <si>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</si>
  <si>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</si>
  <si>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</si>
  <si>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</si>
  <si>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</si>
  <si>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</si>
  <si>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</si>
  <si>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</si>
  <si>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</si>
  <si>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</si>
  <si>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</si>
  <si>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</si>
  <si>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</si>
  <si>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</si>
  <si>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</si>
  <si>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</si>
  <si>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</si>
  <si>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</si>
  <si>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</si>
  <si>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</si>
  <si>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</si>
  <si>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</si>
  <si>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</si>
  <si>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</si>
  <si>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</si>
  <si>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</si>
  <si>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</si>
  <si>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</si>
  <si>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</si>
  <si>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</si>
  <si>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</si>
  <si>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</si>
  <si>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</si>
  <si>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</si>
  <si>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</si>
  <si>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</si>
  <si>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</si>
  <si>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</si>
  <si>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</si>
  <si>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</si>
  <si>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</si>
  <si>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</si>
  <si>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</si>
  <si>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</si>
  <si>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</si>
  <si>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</si>
  <si>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</si>
  <si>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</si>
  <si>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</si>
  <si>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</si>
  <si>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</si>
  <si>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Long-term lease liabilities</t>
  </si>
  <si>
    <t>Common stock ($0.01 par value; 100,000 shares authorized; 10,757 and 10,898 shares issued; 10,242 and 10,383 shares outstanding)</t>
  </si>
  <si>
    <t>Adjustments to reconcile net income to cash generated by operating activities:</t>
  </si>
  <si>
    <t>-</t>
  </si>
  <si>
    <t>Proceeds from sales and maturities of marketable securities</t>
  </si>
  <si>
    <t>COGS</t>
  </si>
  <si>
    <t>capex</t>
  </si>
  <si>
    <t>stock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</si>
</sst>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fill" wrapText="1"/>
    </xf>
    <xf numFmtId="2" fontId="0" fillId="0" borderId="0" xfId="0" applyNumberFormat="1"/>
    <xf numFmtId="1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opLeftCell="A2" zoomScale="200" zoomScaleNormal="200" workbookViewId="0">
      <selection activeCell="B21" sqref="B21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62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60</v>
      </c>
    </row>
    <row r="8" spans="1:1" ht="16" x14ac:dyDescent="0.2">
      <c r="A8" s="2" t="s">
        <v>61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  <row r="18" spans="1:4" ht="16" x14ac:dyDescent="0.2">
      <c r="A18" s="2" t="s">
        <v>145</v>
      </c>
      <c r="B18">
        <v>299830</v>
      </c>
      <c r="C18">
        <v>233310</v>
      </c>
      <c r="D18">
        <v>233270</v>
      </c>
    </row>
    <row r="19" spans="1:4" ht="16" x14ac:dyDescent="0.2">
      <c r="A19" s="2" t="s">
        <v>146</v>
      </c>
      <c r="B19">
        <v>54400</v>
      </c>
      <c r="C19">
        <v>61000</v>
      </c>
      <c r="D19">
        <v>40100</v>
      </c>
    </row>
    <row r="20" spans="1:4" ht="16" x14ac:dyDescent="0.2">
      <c r="A20" s="2" t="s">
        <v>147</v>
      </c>
      <c r="B20">
        <v>133270</v>
      </c>
      <c r="C20">
        <v>173460</v>
      </c>
      <c r="D20">
        <v>155810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zoomScale="200" zoomScaleNormal="200" workbookViewId="0">
      <selection activeCell="B101" sqref="B101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7" t="s">
        <v>63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25" t="s">
        <v>10</v>
      </c>
      <c r="B2" s="25"/>
      <c r="C2" s="25"/>
      <c r="D2" s="25"/>
    </row>
    <row r="3" spans="1:10" x14ac:dyDescent="0.2">
      <c r="B3" s="24" t="s">
        <v>56</v>
      </c>
      <c r="C3" s="24"/>
      <c r="D3" s="24"/>
    </row>
    <row r="4" spans="1:10" x14ac:dyDescent="0.2">
      <c r="B4" s="9">
        <v>2022</v>
      </c>
      <c r="C4" s="9">
        <v>2021</v>
      </c>
      <c r="D4" s="9">
        <v>2020</v>
      </c>
    </row>
    <row r="5" spans="1:10" x14ac:dyDescent="0.2">
      <c r="A5" t="s">
        <v>64</v>
      </c>
    </row>
    <row r="6" spans="1:10" x14ac:dyDescent="0.2">
      <c r="A6" s="1" t="s">
        <v>65</v>
      </c>
      <c r="B6" s="10">
        <v>242901</v>
      </c>
      <c r="C6" s="10">
        <v>241787</v>
      </c>
      <c r="D6" s="10"/>
    </row>
    <row r="7" spans="1:10" x14ac:dyDescent="0.2">
      <c r="A7" s="1" t="s">
        <v>66</v>
      </c>
      <c r="B7" s="10">
        <v>271082</v>
      </c>
      <c r="C7" s="10">
        <v>228035</v>
      </c>
      <c r="D7" s="10"/>
    </row>
    <row r="8" spans="1:10" x14ac:dyDescent="0.2">
      <c r="A8" s="11" t="s">
        <v>67</v>
      </c>
      <c r="B8" s="12">
        <v>513983</v>
      </c>
      <c r="C8" s="12">
        <f>C6+C7</f>
        <v>469822</v>
      </c>
      <c r="D8" s="12"/>
    </row>
    <row r="9" spans="1:10" x14ac:dyDescent="0.2">
      <c r="A9" t="s">
        <v>68</v>
      </c>
      <c r="B9" s="10"/>
      <c r="C9" s="10"/>
      <c r="D9" s="10"/>
    </row>
    <row r="10" spans="1:10" x14ac:dyDescent="0.2">
      <c r="A10" s="1" t="s">
        <v>65</v>
      </c>
      <c r="B10" s="10"/>
      <c r="C10" s="10"/>
      <c r="D10" s="10"/>
    </row>
    <row r="11" spans="1:10" x14ac:dyDescent="0.2">
      <c r="A11" s="1" t="s">
        <v>66</v>
      </c>
      <c r="B11" s="10"/>
      <c r="C11" s="10"/>
      <c r="D11" s="10"/>
    </row>
    <row r="12" spans="1:10" x14ac:dyDescent="0.2">
      <c r="A12" s="11" t="s">
        <v>69</v>
      </c>
      <c r="B12" s="12">
        <v>288831</v>
      </c>
      <c r="C12" s="12">
        <v>272344</v>
      </c>
      <c r="D12" s="12"/>
    </row>
    <row r="13" spans="1:10" x14ac:dyDescent="0.2">
      <c r="A13" s="11" t="s">
        <v>11</v>
      </c>
      <c r="B13" s="12"/>
      <c r="C13" s="12"/>
      <c r="D13" s="12"/>
    </row>
    <row r="14" spans="1:10" x14ac:dyDescent="0.2">
      <c r="A14" t="s">
        <v>70</v>
      </c>
      <c r="B14" s="10"/>
      <c r="C14" s="10"/>
      <c r="D14" s="10"/>
    </row>
    <row r="15" spans="1:10" x14ac:dyDescent="0.2">
      <c r="A15" s="1" t="s">
        <v>71</v>
      </c>
      <c r="B15" s="10"/>
      <c r="C15" s="10"/>
      <c r="D15" s="10"/>
    </row>
    <row r="16" spans="1:10" x14ac:dyDescent="0.2">
      <c r="A16" s="1" t="s">
        <v>72</v>
      </c>
      <c r="B16" s="10"/>
      <c r="C16" s="10"/>
      <c r="D16" s="10"/>
    </row>
    <row r="17" spans="1:4" x14ac:dyDescent="0.2">
      <c r="A17" s="11" t="s">
        <v>73</v>
      </c>
      <c r="B17" s="12">
        <v>501735</v>
      </c>
      <c r="C17" s="12">
        <v>444943</v>
      </c>
      <c r="D17" s="12"/>
    </row>
    <row r="18" spans="1:4" s="11" customFormat="1" x14ac:dyDescent="0.2">
      <c r="A18" s="11" t="s">
        <v>74</v>
      </c>
      <c r="B18" s="12">
        <v>12248</v>
      </c>
      <c r="C18" s="12">
        <v>24879</v>
      </c>
      <c r="D18" s="12"/>
    </row>
    <row r="19" spans="1:4" x14ac:dyDescent="0.2">
      <c r="A19" t="s">
        <v>75</v>
      </c>
      <c r="B19" s="10">
        <v>-16806</v>
      </c>
      <c r="C19" s="10">
        <v>14633</v>
      </c>
      <c r="D19" s="10"/>
    </row>
    <row r="20" spans="1:4" x14ac:dyDescent="0.2">
      <c r="A20" s="11" t="s">
        <v>76</v>
      </c>
      <c r="B20" s="12">
        <v>-5936</v>
      </c>
      <c r="C20" s="12">
        <v>38151</v>
      </c>
      <c r="D20" s="12"/>
    </row>
    <row r="21" spans="1:4" x14ac:dyDescent="0.2">
      <c r="A21" t="s">
        <v>77</v>
      </c>
      <c r="B21" s="10">
        <v>3217</v>
      </c>
      <c r="C21" s="10">
        <v>-4791</v>
      </c>
      <c r="D21" s="10"/>
    </row>
    <row r="22" spans="1:4" ht="16" thickBot="1" x14ac:dyDescent="0.25">
      <c r="A22" s="13" t="s">
        <v>78</v>
      </c>
      <c r="B22" s="14">
        <v>-2722</v>
      </c>
      <c r="C22" s="14">
        <v>33364</v>
      </c>
      <c r="D22" s="14"/>
    </row>
    <row r="23" spans="1:4" ht="16" thickTop="1" x14ac:dyDescent="0.2">
      <c r="A23" t="s">
        <v>79</v>
      </c>
    </row>
    <row r="24" spans="1:4" x14ac:dyDescent="0.2">
      <c r="A24" s="1" t="s">
        <v>80</v>
      </c>
      <c r="B24" s="15">
        <v>-0.27</v>
      </c>
      <c r="C24" s="15">
        <v>3.3</v>
      </c>
      <c r="D24" s="15"/>
    </row>
    <row r="25" spans="1:4" x14ac:dyDescent="0.2">
      <c r="A25" s="1" t="s">
        <v>81</v>
      </c>
      <c r="B25" s="15">
        <v>-0.27</v>
      </c>
      <c r="C25" s="15">
        <v>3.24</v>
      </c>
      <c r="D25" s="15"/>
    </row>
    <row r="26" spans="1:4" x14ac:dyDescent="0.2">
      <c r="A26" t="s">
        <v>82</v>
      </c>
    </row>
    <row r="27" spans="1:4" x14ac:dyDescent="0.2">
      <c r="A27" s="1" t="s">
        <v>80</v>
      </c>
      <c r="B27" s="16">
        <v>10189</v>
      </c>
      <c r="C27" s="16">
        <v>10117</v>
      </c>
      <c r="D27" s="16"/>
    </row>
    <row r="28" spans="1:4" x14ac:dyDescent="0.2">
      <c r="A28" s="1" t="s">
        <v>81</v>
      </c>
      <c r="B28" s="16">
        <v>10189</v>
      </c>
      <c r="C28" s="16">
        <v>10296</v>
      </c>
      <c r="D28" s="16"/>
    </row>
    <row r="31" spans="1:4" x14ac:dyDescent="0.2">
      <c r="A31" s="25" t="s">
        <v>12</v>
      </c>
      <c r="B31" s="25"/>
      <c r="C31" s="25"/>
      <c r="D31" s="25"/>
    </row>
    <row r="32" spans="1:4" x14ac:dyDescent="0.2">
      <c r="B32" s="24" t="s">
        <v>57</v>
      </c>
      <c r="C32" s="24"/>
      <c r="D32" s="24"/>
    </row>
    <row r="33" spans="1:4" x14ac:dyDescent="0.2">
      <c r="B33" s="9">
        <v>2022</v>
      </c>
      <c r="C33" s="9">
        <v>2021</v>
      </c>
      <c r="D33" s="9">
        <v>2020</v>
      </c>
    </row>
    <row r="35" spans="1:4" x14ac:dyDescent="0.2">
      <c r="A35" t="s">
        <v>83</v>
      </c>
    </row>
    <row r="36" spans="1:4" x14ac:dyDescent="0.2">
      <c r="A36" s="1" t="s">
        <v>84</v>
      </c>
      <c r="B36" s="10">
        <v>53888</v>
      </c>
      <c r="C36" s="10">
        <v>36220</v>
      </c>
      <c r="D36" s="10"/>
    </row>
    <row r="37" spans="1:4" x14ac:dyDescent="0.2">
      <c r="A37" s="1" t="s">
        <v>85</v>
      </c>
      <c r="B37" s="10">
        <v>16138</v>
      </c>
      <c r="C37" s="10">
        <v>59829</v>
      </c>
      <c r="D37" s="10"/>
    </row>
    <row r="38" spans="1:4" x14ac:dyDescent="0.2">
      <c r="A38" s="1" t="s">
        <v>86</v>
      </c>
      <c r="B38" s="10">
        <v>42360</v>
      </c>
      <c r="C38" s="10">
        <v>32891</v>
      </c>
      <c r="D38" s="10"/>
    </row>
    <row r="39" spans="1:4" x14ac:dyDescent="0.2">
      <c r="A39" s="1" t="s">
        <v>87</v>
      </c>
      <c r="B39" s="10">
        <v>34405</v>
      </c>
      <c r="C39" s="10">
        <v>32640</v>
      </c>
      <c r="D39" s="10"/>
    </row>
    <row r="40" spans="1:4" x14ac:dyDescent="0.2">
      <c r="A40" s="1" t="s">
        <v>88</v>
      </c>
      <c r="B40" s="10"/>
      <c r="C40" s="10"/>
      <c r="D40" s="10"/>
    </row>
    <row r="41" spans="1:4" x14ac:dyDescent="0.2">
      <c r="A41" s="1" t="s">
        <v>89</v>
      </c>
      <c r="B41" s="10"/>
      <c r="C41" s="10"/>
      <c r="D41" s="10"/>
    </row>
    <row r="42" spans="1:4" x14ac:dyDescent="0.2">
      <c r="A42" s="11" t="s">
        <v>90</v>
      </c>
      <c r="B42" s="12">
        <v>146791</v>
      </c>
      <c r="C42" s="12">
        <v>161580</v>
      </c>
      <c r="D42" s="12"/>
    </row>
    <row r="43" spans="1:4" x14ac:dyDescent="0.2">
      <c r="A43" t="s">
        <v>91</v>
      </c>
      <c r="B43" s="10"/>
      <c r="C43" s="10"/>
      <c r="D43" s="10"/>
    </row>
    <row r="44" spans="1:4" x14ac:dyDescent="0.2">
      <c r="A44" s="1" t="s">
        <v>85</v>
      </c>
      <c r="B44" s="10"/>
      <c r="C44" s="10"/>
      <c r="D44" s="10"/>
    </row>
    <row r="45" spans="1:4" x14ac:dyDescent="0.2">
      <c r="A45" s="1" t="s">
        <v>92</v>
      </c>
      <c r="B45" s="10">
        <v>186715</v>
      </c>
      <c r="C45" s="10">
        <v>160281</v>
      </c>
      <c r="D45" s="10"/>
    </row>
    <row r="46" spans="1:4" x14ac:dyDescent="0.2">
      <c r="A46" s="1" t="s">
        <v>93</v>
      </c>
      <c r="B46" s="10">
        <v>42758</v>
      </c>
      <c r="C46" s="10">
        <v>27235</v>
      </c>
      <c r="D46" s="10"/>
    </row>
    <row r="47" spans="1:4" x14ac:dyDescent="0.2">
      <c r="A47" s="11" t="s">
        <v>94</v>
      </c>
      <c r="B47" s="12">
        <f>B48-B42</f>
        <v>315884</v>
      </c>
      <c r="C47" s="12">
        <f>C48-C42</f>
        <v>258969</v>
      </c>
      <c r="D47" s="12"/>
    </row>
    <row r="48" spans="1:4" ht="16" thickBot="1" x14ac:dyDescent="0.25">
      <c r="A48" s="13" t="s">
        <v>95</v>
      </c>
      <c r="B48" s="14">
        <v>462675</v>
      </c>
      <c r="C48" s="14">
        <v>420549</v>
      </c>
      <c r="D48" s="14"/>
    </row>
    <row r="49" spans="1:4" ht="16" thickTop="1" x14ac:dyDescent="0.2"/>
    <row r="50" spans="1:4" x14ac:dyDescent="0.2">
      <c r="A50" t="s">
        <v>96</v>
      </c>
    </row>
    <row r="51" spans="1:4" x14ac:dyDescent="0.2">
      <c r="A51" s="1" t="s">
        <v>97</v>
      </c>
      <c r="B51" s="10">
        <v>79600</v>
      </c>
      <c r="C51" s="10">
        <v>78664</v>
      </c>
      <c r="D51" s="10"/>
    </row>
    <row r="52" spans="1:4" x14ac:dyDescent="0.2">
      <c r="A52" s="1" t="s">
        <v>98</v>
      </c>
      <c r="B52" s="10"/>
      <c r="C52" s="10"/>
      <c r="D52" s="10"/>
    </row>
    <row r="53" spans="1:4" x14ac:dyDescent="0.2">
      <c r="A53" s="1" t="s">
        <v>99</v>
      </c>
      <c r="B53" s="10">
        <v>13227</v>
      </c>
      <c r="C53" s="10">
        <v>11827</v>
      </c>
      <c r="D53" s="10"/>
    </row>
    <row r="54" spans="1:4" x14ac:dyDescent="0.2">
      <c r="A54" s="1" t="s">
        <v>100</v>
      </c>
      <c r="B54" s="10"/>
      <c r="C54" s="10"/>
      <c r="D54" s="10"/>
    </row>
    <row r="55" spans="1:4" x14ac:dyDescent="0.2">
      <c r="A55" s="1" t="s">
        <v>101</v>
      </c>
      <c r="B55" s="10"/>
      <c r="C55" s="10"/>
      <c r="D55" s="10"/>
    </row>
    <row r="56" spans="1:4" x14ac:dyDescent="0.2">
      <c r="A56" s="11" t="s">
        <v>102</v>
      </c>
      <c r="B56" s="12">
        <v>155393</v>
      </c>
      <c r="C56" s="12">
        <v>142266</v>
      </c>
      <c r="D56" s="12"/>
    </row>
    <row r="57" spans="1:4" x14ac:dyDescent="0.2">
      <c r="A57" t="s">
        <v>103</v>
      </c>
      <c r="B57" s="10"/>
      <c r="C57" s="10"/>
      <c r="D57" s="10"/>
    </row>
    <row r="58" spans="1:4" x14ac:dyDescent="0.2">
      <c r="A58" s="1" t="s">
        <v>140</v>
      </c>
      <c r="B58" s="10">
        <v>72968</v>
      </c>
      <c r="C58" s="10">
        <v>67651</v>
      </c>
      <c r="D58" s="10"/>
    </row>
    <row r="59" spans="1:4" x14ac:dyDescent="0.2">
      <c r="A59" s="1" t="s">
        <v>101</v>
      </c>
      <c r="B59" s="10">
        <v>67150</v>
      </c>
      <c r="C59" s="10">
        <v>48744</v>
      </c>
      <c r="D59" s="10"/>
    </row>
    <row r="60" spans="1:4" x14ac:dyDescent="0.2">
      <c r="A60" s="1" t="s">
        <v>104</v>
      </c>
      <c r="B60" s="10">
        <v>21121</v>
      </c>
      <c r="C60" s="10">
        <v>23643</v>
      </c>
      <c r="D60" s="10"/>
    </row>
    <row r="61" spans="1:4" x14ac:dyDescent="0.2">
      <c r="A61" s="26" t="s">
        <v>105</v>
      </c>
      <c r="B61" s="10">
        <f>B58+B59+B60</f>
        <v>161239</v>
      </c>
      <c r="C61" s="10">
        <f>C58+C59+C60</f>
        <v>140038</v>
      </c>
      <c r="D61" s="10"/>
    </row>
    <row r="62" spans="1:4" x14ac:dyDescent="0.2">
      <c r="A62" s="11" t="s">
        <v>106</v>
      </c>
      <c r="B62" s="12">
        <f>B56+B61</f>
        <v>316632</v>
      </c>
      <c r="C62" s="12">
        <f>C56+C61</f>
        <v>282304</v>
      </c>
      <c r="D62" s="12"/>
    </row>
    <row r="63" spans="1:4" x14ac:dyDescent="0.2">
      <c r="B63" s="10"/>
      <c r="C63" s="10"/>
      <c r="D63" s="10"/>
    </row>
    <row r="64" spans="1:4" x14ac:dyDescent="0.2">
      <c r="A64" t="s">
        <v>107</v>
      </c>
      <c r="B64" s="10"/>
      <c r="C64" s="10"/>
      <c r="D64" s="10"/>
    </row>
    <row r="65" spans="1:4" s="27" customFormat="1" ht="16" customHeight="1" x14ac:dyDescent="0.2">
      <c r="A65" s="28" t="s">
        <v>141</v>
      </c>
      <c r="B65" s="27">
        <v>108</v>
      </c>
      <c r="C65" s="27">
        <v>5</v>
      </c>
    </row>
    <row r="66" spans="1:4" x14ac:dyDescent="0.2">
      <c r="A66" s="1" t="s">
        <v>108</v>
      </c>
      <c r="B66" s="10">
        <v>83193</v>
      </c>
      <c r="C66" s="10">
        <v>85915</v>
      </c>
      <c r="D66" s="10"/>
    </row>
    <row r="67" spans="1:4" x14ac:dyDescent="0.2">
      <c r="A67" s="1" t="s">
        <v>109</v>
      </c>
      <c r="B67" s="10">
        <v>-4487</v>
      </c>
      <c r="C67" s="10">
        <v>-1376</v>
      </c>
      <c r="D67" s="10"/>
    </row>
    <row r="68" spans="1:4" x14ac:dyDescent="0.2">
      <c r="A68" s="11" t="s">
        <v>110</v>
      </c>
      <c r="B68" s="12">
        <v>146043</v>
      </c>
      <c r="C68" s="12">
        <v>138245</v>
      </c>
      <c r="D68" s="12"/>
    </row>
    <row r="69" spans="1:4" ht="16" thickBot="1" x14ac:dyDescent="0.25">
      <c r="A69" s="13" t="s">
        <v>111</v>
      </c>
      <c r="B69" s="14">
        <v>462675</v>
      </c>
      <c r="C69" s="14">
        <v>420549</v>
      </c>
      <c r="D69" s="14"/>
    </row>
    <row r="70" spans="1:4" ht="16" thickTop="1" x14ac:dyDescent="0.2"/>
    <row r="71" spans="1:4" x14ac:dyDescent="0.2">
      <c r="A71" s="25" t="s">
        <v>13</v>
      </c>
      <c r="B71" s="25"/>
      <c r="C71" s="25"/>
      <c r="D71" s="25"/>
    </row>
    <row r="72" spans="1:4" x14ac:dyDescent="0.2">
      <c r="B72" s="24" t="s">
        <v>56</v>
      </c>
      <c r="C72" s="24"/>
      <c r="D72" s="24"/>
    </row>
    <row r="73" spans="1:4" x14ac:dyDescent="0.2">
      <c r="B73" s="9">
        <v>2022</v>
      </c>
      <c r="C73" s="9">
        <v>2021</v>
      </c>
      <c r="D73" s="9">
        <v>2020</v>
      </c>
    </row>
    <row r="75" spans="1:4" x14ac:dyDescent="0.2">
      <c r="A75" s="9" t="s">
        <v>112</v>
      </c>
      <c r="B75" s="17">
        <v>36477</v>
      </c>
      <c r="C75" s="17">
        <v>42377</v>
      </c>
      <c r="D75" s="17"/>
    </row>
    <row r="76" spans="1:4" x14ac:dyDescent="0.2">
      <c r="A76" t="s">
        <v>113</v>
      </c>
      <c r="B76" s="10"/>
      <c r="C76" s="10"/>
      <c r="D76" s="10"/>
    </row>
    <row r="77" spans="1:4" x14ac:dyDescent="0.2">
      <c r="A77" s="18" t="s">
        <v>78</v>
      </c>
      <c r="B77" s="17">
        <v>-2722</v>
      </c>
      <c r="C77" s="17">
        <v>33364</v>
      </c>
      <c r="D77" s="17"/>
    </row>
    <row r="78" spans="1:4" ht="32" x14ac:dyDescent="0.2">
      <c r="A78" s="5" t="s">
        <v>142</v>
      </c>
      <c r="B78" s="10"/>
      <c r="C78" s="10"/>
      <c r="D78" s="10"/>
    </row>
    <row r="79" spans="1:4" x14ac:dyDescent="0.2">
      <c r="A79" s="19" t="s">
        <v>114</v>
      </c>
      <c r="B79" s="10">
        <v>41921</v>
      </c>
      <c r="C79" s="10">
        <v>34443</v>
      </c>
      <c r="D79" s="10"/>
    </row>
    <row r="80" spans="1:4" x14ac:dyDescent="0.2">
      <c r="A80" s="19" t="s">
        <v>115</v>
      </c>
      <c r="B80" s="10">
        <v>19621</v>
      </c>
      <c r="C80" s="10">
        <v>12757</v>
      </c>
      <c r="D80" s="10"/>
    </row>
    <row r="81" spans="1:4" x14ac:dyDescent="0.2">
      <c r="A81" s="19" t="s">
        <v>116</v>
      </c>
      <c r="B81" s="10">
        <v>-8148</v>
      </c>
      <c r="C81" s="10">
        <v>-310</v>
      </c>
      <c r="D81" s="10"/>
    </row>
    <row r="82" spans="1:4" x14ac:dyDescent="0.2">
      <c r="A82" s="19" t="s">
        <v>117</v>
      </c>
      <c r="B82" s="10"/>
      <c r="C82" s="10">
        <v>-14306</v>
      </c>
      <c r="D82" s="10"/>
    </row>
    <row r="83" spans="1:4" x14ac:dyDescent="0.2">
      <c r="A83" t="s">
        <v>118</v>
      </c>
      <c r="B83" s="10"/>
      <c r="C83" s="10"/>
      <c r="D83" s="10"/>
    </row>
    <row r="84" spans="1:4" x14ac:dyDescent="0.2">
      <c r="A84" s="1" t="s">
        <v>86</v>
      </c>
      <c r="B84" s="10">
        <v>-8622</v>
      </c>
      <c r="C84" s="10">
        <v>-9145</v>
      </c>
      <c r="D84" s="10"/>
    </row>
    <row r="85" spans="1:4" x14ac:dyDescent="0.2">
      <c r="A85" s="1" t="s">
        <v>87</v>
      </c>
      <c r="B85" s="10">
        <v>-2592</v>
      </c>
      <c r="C85" s="10">
        <v>-9487</v>
      </c>
      <c r="D85" s="10"/>
    </row>
    <row r="86" spans="1:4" x14ac:dyDescent="0.2">
      <c r="A86" s="1" t="s">
        <v>88</v>
      </c>
      <c r="B86" s="10"/>
      <c r="C86" s="10"/>
      <c r="D86" s="10"/>
    </row>
    <row r="87" spans="1:4" x14ac:dyDescent="0.2">
      <c r="A87" s="1" t="s">
        <v>119</v>
      </c>
      <c r="B87" s="10">
        <v>-13275</v>
      </c>
      <c r="C87" s="10">
        <v>-9018</v>
      </c>
      <c r="D87" s="10"/>
    </row>
    <row r="88" spans="1:4" x14ac:dyDescent="0.2">
      <c r="A88" s="1" t="s">
        <v>97</v>
      </c>
      <c r="B88" s="10">
        <v>2945</v>
      </c>
      <c r="C88" s="10">
        <v>3602</v>
      </c>
      <c r="D88" s="10"/>
    </row>
    <row r="89" spans="1:4" x14ac:dyDescent="0.2">
      <c r="A89" s="1" t="s">
        <v>99</v>
      </c>
      <c r="B89" s="10">
        <v>2216</v>
      </c>
      <c r="C89" s="10">
        <v>2314</v>
      </c>
      <c r="D89" s="10"/>
    </row>
    <row r="90" spans="1:4" x14ac:dyDescent="0.2">
      <c r="A90" s="1" t="s">
        <v>120</v>
      </c>
      <c r="B90" s="10"/>
      <c r="C90" s="10"/>
      <c r="D90" s="10"/>
    </row>
    <row r="91" spans="1:4" x14ac:dyDescent="0.2">
      <c r="A91" s="11" t="s">
        <v>121</v>
      </c>
      <c r="B91" s="12">
        <f>B77+B79+B80+B81+B84+B85+B87+B88+B89</f>
        <v>31344</v>
      </c>
      <c r="C91" s="12">
        <f>C77+C79+C80+C81+C84+C85+C87+C88+C89</f>
        <v>58520</v>
      </c>
      <c r="D91" s="12"/>
    </row>
    <row r="92" spans="1:4" x14ac:dyDescent="0.2">
      <c r="A92" s="9" t="s">
        <v>122</v>
      </c>
      <c r="B92" s="10"/>
      <c r="C92" s="10"/>
      <c r="D92" s="10"/>
    </row>
    <row r="93" spans="1:4" x14ac:dyDescent="0.2">
      <c r="A93" s="1" t="s">
        <v>123</v>
      </c>
      <c r="B93" s="10">
        <v>-2565</v>
      </c>
      <c r="C93" s="10">
        <v>-60157</v>
      </c>
      <c r="D93" s="10"/>
    </row>
    <row r="94" spans="1:4" x14ac:dyDescent="0.2">
      <c r="A94" s="1" t="s">
        <v>144</v>
      </c>
      <c r="B94" s="10">
        <v>31601</v>
      </c>
      <c r="C94" s="10">
        <v>59384</v>
      </c>
      <c r="D94" s="10"/>
    </row>
    <row r="95" spans="1:4" x14ac:dyDescent="0.2">
      <c r="A95" s="1" t="s">
        <v>124</v>
      </c>
      <c r="B95" s="10">
        <v>-63645</v>
      </c>
      <c r="C95" s="10">
        <v>-61053</v>
      </c>
      <c r="D95" s="10"/>
    </row>
    <row r="96" spans="1:4" x14ac:dyDescent="0.2">
      <c r="A96" s="1" t="s">
        <v>125</v>
      </c>
      <c r="B96" s="10">
        <v>-8316</v>
      </c>
      <c r="C96" s="10">
        <v>-1985</v>
      </c>
      <c r="D96" s="10"/>
    </row>
    <row r="97" spans="1:4" x14ac:dyDescent="0.2">
      <c r="A97" s="1" t="s">
        <v>117</v>
      </c>
      <c r="B97" s="10"/>
      <c r="C97" s="10"/>
      <c r="D97" s="10"/>
    </row>
    <row r="98" spans="1:4" x14ac:dyDescent="0.2">
      <c r="A98" s="11" t="s">
        <v>126</v>
      </c>
      <c r="B98" s="10">
        <f>B93+B94+B95+B96</f>
        <v>-42925</v>
      </c>
      <c r="C98" s="10">
        <f>C93+C94+C95+C96</f>
        <v>-63811</v>
      </c>
      <c r="D98" s="10"/>
    </row>
    <row r="99" spans="1:4" x14ac:dyDescent="0.2">
      <c r="A99" s="9" t="s">
        <v>127</v>
      </c>
      <c r="B99" s="10"/>
      <c r="C99" s="10"/>
      <c r="D99" s="10"/>
    </row>
    <row r="100" spans="1:4" x14ac:dyDescent="0.2">
      <c r="A100" s="1" t="s">
        <v>128</v>
      </c>
      <c r="B100" s="12"/>
      <c r="C100" s="12"/>
      <c r="D100" s="12"/>
    </row>
    <row r="101" spans="1:4" x14ac:dyDescent="0.2">
      <c r="A101" s="1" t="s">
        <v>129</v>
      </c>
      <c r="B101" s="10"/>
      <c r="C101" s="10"/>
      <c r="D101" s="10"/>
    </row>
    <row r="102" spans="1:4" x14ac:dyDescent="0.2">
      <c r="A102" s="1" t="s">
        <v>130</v>
      </c>
      <c r="B102" s="10">
        <v>-6000</v>
      </c>
      <c r="C102" s="10" t="s">
        <v>143</v>
      </c>
      <c r="D102" s="10"/>
    </row>
    <row r="103" spans="1:4" x14ac:dyDescent="0.2">
      <c r="A103" s="1" t="s">
        <v>131</v>
      </c>
      <c r="B103" s="10"/>
      <c r="C103" s="10"/>
      <c r="D103" s="10"/>
    </row>
    <row r="104" spans="1:4" x14ac:dyDescent="0.2">
      <c r="A104" s="1" t="s">
        <v>132</v>
      </c>
      <c r="B104" s="10"/>
      <c r="C104" s="10"/>
      <c r="D104" s="10"/>
    </row>
    <row r="105" spans="1:4" x14ac:dyDescent="0.2">
      <c r="A105" s="1" t="s">
        <v>133</v>
      </c>
      <c r="B105" s="10"/>
      <c r="C105" s="10"/>
      <c r="D105" s="10"/>
    </row>
    <row r="106" spans="1:4" x14ac:dyDescent="0.2">
      <c r="A106" s="1" t="s">
        <v>117</v>
      </c>
      <c r="B106" s="10"/>
      <c r="C106" s="10"/>
      <c r="D106" s="10"/>
    </row>
    <row r="107" spans="1:4" x14ac:dyDescent="0.2">
      <c r="A107" s="11" t="s">
        <v>134</v>
      </c>
      <c r="B107" s="10">
        <v>9718</v>
      </c>
      <c r="C107" s="10">
        <v>6291</v>
      </c>
      <c r="D107" s="10"/>
    </row>
    <row r="108" spans="1:4" x14ac:dyDescent="0.2">
      <c r="A108" s="11" t="s">
        <v>135</v>
      </c>
      <c r="B108" s="10">
        <v>17776</v>
      </c>
      <c r="C108" s="10">
        <v>-5900</v>
      </c>
      <c r="D108" s="10"/>
    </row>
    <row r="109" spans="1:4" ht="16" thickBot="1" x14ac:dyDescent="0.25">
      <c r="A109" s="13" t="s">
        <v>136</v>
      </c>
      <c r="B109" s="10">
        <v>54253</v>
      </c>
      <c r="C109" s="10">
        <v>36447</v>
      </c>
      <c r="D109" s="10"/>
    </row>
    <row r="110" spans="1:4" ht="16" thickTop="1" x14ac:dyDescent="0.2">
      <c r="B110" s="12"/>
      <c r="C110" s="12"/>
      <c r="D110" s="12"/>
    </row>
    <row r="111" spans="1:4" x14ac:dyDescent="0.2">
      <c r="A111" t="s">
        <v>137</v>
      </c>
      <c r="B111" s="12"/>
      <c r="C111" s="12"/>
      <c r="D111" s="12"/>
    </row>
    <row r="112" spans="1:4" ht="16" thickBot="1" x14ac:dyDescent="0.25">
      <c r="A112" t="s">
        <v>138</v>
      </c>
      <c r="B112" s="14">
        <v>6035</v>
      </c>
      <c r="C112" s="14">
        <v>3688</v>
      </c>
      <c r="D112" s="14"/>
    </row>
    <row r="113" spans="1:4" ht="16" thickTop="1" x14ac:dyDescent="0.2">
      <c r="A113" t="s">
        <v>139</v>
      </c>
      <c r="B113" s="10">
        <v>1561</v>
      </c>
      <c r="C113" s="10">
        <v>1098</v>
      </c>
      <c r="D113" s="10"/>
    </row>
    <row r="114" spans="1:4" x14ac:dyDescent="0.2">
      <c r="B114" s="10"/>
      <c r="C114" s="10"/>
      <c r="D114" s="10"/>
    </row>
    <row r="115" spans="1:4" x14ac:dyDescent="0.2">
      <c r="B115" s="10"/>
      <c r="C115" s="10"/>
      <c r="D115" s="10"/>
    </row>
    <row r="116" spans="1:4" x14ac:dyDescent="0.2">
      <c r="B116" s="10"/>
      <c r="C116" s="10"/>
      <c r="D116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29" zoomScale="200" zoomScaleNormal="200" workbookViewId="0">
      <selection activeCell="D51" sqref="D5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9.6640625" bestFit="1" customWidth="1"/>
    <col min="4" max="4" width="9.83203125" bestFit="1" customWidth="1"/>
  </cols>
  <sheetData>
    <row r="1" spans="1:10" ht="60" customHeight="1" x14ac:dyDescent="0.3">
      <c r="A1" s="7"/>
      <c r="B1" s="20" t="s">
        <v>58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24" t="s">
        <v>59</v>
      </c>
      <c r="D2" s="24"/>
      <c r="E2" s="24"/>
    </row>
    <row r="3" spans="1:10" x14ac:dyDescent="0.2">
      <c r="C3" s="9">
        <v>2022</v>
      </c>
      <c r="D3" s="9">
        <v>2021</v>
      </c>
      <c r="E3" s="9">
        <v>2020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  <c r="C5" s="29">
        <f>'Financial Statements'!B42/'Financial Statements'!B56</f>
        <v>0.9446435811136924</v>
      </c>
      <c r="D5" s="29">
        <f>'Financial Statements'!C42/'Financial Statements'!C56</f>
        <v>1.1357597739445826</v>
      </c>
    </row>
    <row r="6" spans="1:10" x14ac:dyDescent="0.2">
      <c r="A6" s="22">
        <f t="shared" ref="A6:A13" si="0">+A5+0.1</f>
        <v>1.2000000000000002</v>
      </c>
      <c r="B6" s="1" t="s">
        <v>16</v>
      </c>
      <c r="C6" s="29">
        <f>('Financial Statements'!B36+'Financial Statements'!B37+'Financial Statements'!B38)/'Financial Statements'!B56</f>
        <v>0.72323721145740161</v>
      </c>
      <c r="D6" s="29">
        <f>('Financial Statements'!C36+'Financial Statements'!C37+'Financial Statements'!C38)/'Financial Statements'!C56</f>
        <v>0.90633039517523517</v>
      </c>
    </row>
    <row r="7" spans="1:10" x14ac:dyDescent="0.2">
      <c r="A7" s="22">
        <f t="shared" si="0"/>
        <v>1.3000000000000003</v>
      </c>
      <c r="B7" s="1" t="s">
        <v>17</v>
      </c>
      <c r="C7" s="29">
        <f>('Financial Statements'!B36+'Financial Statements'!B37)/'Financial Statements'!B56</f>
        <v>0.45063805962945563</v>
      </c>
      <c r="D7" s="29">
        <f>('Financial Statements'!C36+'Financial Statements'!C37)/'Financial Statements'!C56</f>
        <v>0.67513671572968947</v>
      </c>
    </row>
    <row r="8" spans="1:10" x14ac:dyDescent="0.2">
      <c r="A8" s="22">
        <f t="shared" si="0"/>
        <v>1.4000000000000004</v>
      </c>
      <c r="B8" s="1" t="s">
        <v>18</v>
      </c>
      <c r="C8" s="29">
        <f>('Financial Statements'!B42-'Financial Statements'!B39)/('Financial Statements'!B17/365)</f>
        <v>81.758079464259026</v>
      </c>
      <c r="D8" s="29">
        <f>('Financial Statements'!C42-'Financial Statements'!C39)/('Financial Statements'!C17/365)</f>
        <v>105.77332377405646</v>
      </c>
    </row>
    <row r="9" spans="1:10" x14ac:dyDescent="0.2">
      <c r="A9" s="22">
        <f t="shared" si="0"/>
        <v>1.5000000000000004</v>
      </c>
      <c r="B9" s="1" t="s">
        <v>19</v>
      </c>
      <c r="C9" s="29">
        <f>((('Financial Statements'!B39+'Financial Statements'!C39)/2)/Instructions!B18)*365</f>
        <v>40.808833338892043</v>
      </c>
      <c r="D9" s="29">
        <f>((('Financial Statements'!C39+'Financial Statements'!D39)/2)/Instructions!C18)*365</f>
        <v>25.531696026745532</v>
      </c>
    </row>
    <row r="10" spans="1:10" x14ac:dyDescent="0.2">
      <c r="A10" s="22">
        <f t="shared" si="0"/>
        <v>1.6000000000000005</v>
      </c>
      <c r="B10" s="1" t="s">
        <v>20</v>
      </c>
      <c r="C10" s="29">
        <f>((('Financial Statements'!B51+'Financial Statements'!C51)/2)/Instructions!B18)*365</f>
        <v>96.331854717673352</v>
      </c>
      <c r="D10" s="29">
        <f>((('Financial Statements'!C51+'Financial Statements'!D51)/2)/Instructions!C18)*365</f>
        <v>61.532638978183527</v>
      </c>
    </row>
    <row r="11" spans="1:10" x14ac:dyDescent="0.2">
      <c r="A11" s="22">
        <f t="shared" si="0"/>
        <v>1.7000000000000006</v>
      </c>
      <c r="B11" s="1" t="s">
        <v>21</v>
      </c>
      <c r="C11" s="29">
        <f>((('Financial Statements'!B38+'Financial Statements'!C38)/2)/'Financial Statements'!B8)*365</f>
        <v>26.719380796641133</v>
      </c>
      <c r="D11" s="29">
        <f>((('Financial Statements'!C38+'Financial Statements'!D38)/2)/'Financial Statements'!C8)*365</f>
        <v>12.776344019649995</v>
      </c>
    </row>
    <row r="12" spans="1:10" x14ac:dyDescent="0.2">
      <c r="A12" s="22">
        <f t="shared" si="0"/>
        <v>1.8000000000000007</v>
      </c>
      <c r="B12" s="1" t="s">
        <v>22</v>
      </c>
      <c r="C12" s="29">
        <f>C9+C11-C10</f>
        <v>-28.803640582140176</v>
      </c>
      <c r="D12" s="29">
        <f>D9+D11-D10</f>
        <v>-23.224598931788002</v>
      </c>
    </row>
    <row r="13" spans="1:10" x14ac:dyDescent="0.2">
      <c r="A13" s="22">
        <f t="shared" si="0"/>
        <v>1.9000000000000008</v>
      </c>
      <c r="B13" s="1" t="s">
        <v>23</v>
      </c>
      <c r="C13" s="29">
        <f>(C14/'Financial Statements'!B8)*100</f>
        <v>-1.6735962084349094</v>
      </c>
      <c r="D13" s="29">
        <f>(D14/'Financial Statements'!C8)*100</f>
        <v>4.1109186032156861</v>
      </c>
    </row>
    <row r="14" spans="1:10" x14ac:dyDescent="0.2">
      <c r="A14" s="22"/>
      <c r="B14" s="19" t="s">
        <v>24</v>
      </c>
      <c r="C14">
        <f>'Financial Statements'!B42-'Financial Statements'!B56</f>
        <v>-8602</v>
      </c>
      <c r="D14">
        <f>'Financial Statements'!C42-'Financial Statements'!C56</f>
        <v>19314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25</v>
      </c>
    </row>
    <row r="17" spans="1:4" x14ac:dyDescent="0.2">
      <c r="A17" s="22">
        <f>+A16+0.1</f>
        <v>2.1</v>
      </c>
      <c r="B17" s="1" t="s">
        <v>11</v>
      </c>
      <c r="C17" s="29">
        <f>(('Financial Statements'!B8-Instructions!B18)/'Financial Statements'!B8)*100</f>
        <v>41.665385820153581</v>
      </c>
      <c r="D17" s="29">
        <f>(('Financial Statements'!C8-Instructions!C18)/'Financial Statements'!C8)*100</f>
        <v>50.340767354444871</v>
      </c>
    </row>
    <row r="18" spans="1:4" x14ac:dyDescent="0.2">
      <c r="A18" s="22">
        <f>+A17+0.1</f>
        <v>2.2000000000000002</v>
      </c>
      <c r="B18" s="1" t="s">
        <v>26</v>
      </c>
      <c r="C18" s="29">
        <f>(C19/'Financial Statements'!B8)*100</f>
        <v>9.104386720961589</v>
      </c>
      <c r="D18" s="29">
        <f>(D19/'Financial Statements'!C8)*100</f>
        <v>15.451170868967395</v>
      </c>
    </row>
    <row r="19" spans="1:4" x14ac:dyDescent="0.2">
      <c r="A19" s="22"/>
      <c r="B19" s="19" t="s">
        <v>27</v>
      </c>
      <c r="C19" s="30">
        <f>'Financial Statements'!B22+'Financial Statements'!B113+'Financial Statements'!B112+'Financial Statements'!B79</f>
        <v>46795</v>
      </c>
      <c r="D19" s="30">
        <f>'Financial Statements'!C22+'Financial Statements'!C113+'Financial Statements'!C112+'Financial Statements'!C79</f>
        <v>72593</v>
      </c>
    </row>
    <row r="20" spans="1:4" x14ac:dyDescent="0.2">
      <c r="A20" s="22"/>
      <c r="B20" s="1" t="s">
        <v>28</v>
      </c>
      <c r="C20" s="29">
        <f>(C21/'Financial Statements'!B8)*100</f>
        <v>2.382958191224223</v>
      </c>
      <c r="D20" s="29">
        <f>(D21/'Financial Statements'!C8)*100</f>
        <v>5.2954097509269467</v>
      </c>
    </row>
    <row r="21" spans="1:4" x14ac:dyDescent="0.2">
      <c r="A21" s="22"/>
      <c r="B21" s="19" t="s">
        <v>29</v>
      </c>
      <c r="C21">
        <f>'Financial Statements'!B8-'Financial Statements'!B17</f>
        <v>12248</v>
      </c>
      <c r="D21">
        <f>'Financial Statements'!C8-'Financial Statements'!C17</f>
        <v>24879</v>
      </c>
    </row>
    <row r="22" spans="1:4" x14ac:dyDescent="0.2">
      <c r="A22" s="22">
        <f>+A20+0.1</f>
        <v>0.1</v>
      </c>
      <c r="B22" s="1" t="s">
        <v>30</v>
      </c>
      <c r="C22" s="29">
        <f>('Financial Statements'!B22/'Financial Statements'!B8)*100</f>
        <v>-0.52958950004183014</v>
      </c>
      <c r="D22" s="29">
        <f>('Financial Statements'!C22/'Financial Statements'!C8)*100</f>
        <v>7.1014128755145567</v>
      </c>
    </row>
    <row r="23" spans="1:4" x14ac:dyDescent="0.2">
      <c r="A23" s="22"/>
    </row>
    <row r="24" spans="1:4" x14ac:dyDescent="0.2">
      <c r="A24" s="22">
        <f>+A16+1</f>
        <v>3</v>
      </c>
      <c r="B24" s="9" t="s">
        <v>31</v>
      </c>
    </row>
    <row r="25" spans="1:4" x14ac:dyDescent="0.2">
      <c r="A25" s="22">
        <f>+A24+0.1</f>
        <v>3.1</v>
      </c>
      <c r="B25" s="1" t="s">
        <v>32</v>
      </c>
      <c r="C25" s="29">
        <f>140110/'Financial Statements'!B68</f>
        <v>0.95937497860219245</v>
      </c>
      <c r="D25" s="29">
        <f>48740/'Financial Statements'!C68</f>
        <v>0.35256247965568377</v>
      </c>
    </row>
    <row r="26" spans="1:4" x14ac:dyDescent="0.2">
      <c r="A26" s="22">
        <f t="shared" ref="A26:A30" si="1">+A25+0.1</f>
        <v>3.2</v>
      </c>
      <c r="B26" s="1" t="s">
        <v>33</v>
      </c>
      <c r="C26" s="29">
        <f>140110/'Financial Statements'!B48</f>
        <v>0.30282595774571786</v>
      </c>
      <c r="D26" s="29">
        <f>48740/'Financial Statements'!C48</f>
        <v>0.11589612625401559</v>
      </c>
    </row>
    <row r="27" spans="1:4" x14ac:dyDescent="0.2">
      <c r="A27" s="22">
        <f t="shared" si="1"/>
        <v>3.3000000000000003</v>
      </c>
      <c r="B27" s="1" t="s">
        <v>34</v>
      </c>
      <c r="C27" s="29">
        <f>67150/(67150+'Financial Statements'!B68)</f>
        <v>0.31497281805687805</v>
      </c>
      <c r="D27" s="29">
        <f>48744/(48744+'Financial Statements'!C68)</f>
        <v>0.26067843562990334</v>
      </c>
    </row>
    <row r="28" spans="1:4" x14ac:dyDescent="0.2">
      <c r="A28" s="22">
        <f t="shared" si="1"/>
        <v>3.4000000000000004</v>
      </c>
      <c r="B28" s="1" t="s">
        <v>35</v>
      </c>
      <c r="C28" s="29">
        <f>'List of Ratios'!C21/'Financial Statements'!B113</f>
        <v>7.8462524023062139</v>
      </c>
      <c r="D28" s="29">
        <f>'List of Ratios'!D21/'Financial Statements'!C113</f>
        <v>22.65846994535519</v>
      </c>
    </row>
    <row r="29" spans="1:4" x14ac:dyDescent="0.2">
      <c r="A29" s="22">
        <f t="shared" si="1"/>
        <v>3.5000000000000004</v>
      </c>
      <c r="B29" s="1" t="s">
        <v>36</v>
      </c>
      <c r="C29" s="29">
        <f>'Financial Statements'!B18/2400</f>
        <v>5.1033333333333335</v>
      </c>
      <c r="D29" s="29">
        <f>'Financial Statements'!C18/4300</f>
        <v>5.7858139534883719</v>
      </c>
    </row>
    <row r="30" spans="1:4" x14ac:dyDescent="0.2">
      <c r="A30" s="22">
        <f t="shared" si="1"/>
        <v>3.6000000000000005</v>
      </c>
      <c r="B30" s="1" t="s">
        <v>37</v>
      </c>
      <c r="C30" s="16">
        <f>C31-Instructions!B19</f>
        <v>-60979</v>
      </c>
      <c r="D30" s="16">
        <f>D31-Instructions!C19</f>
        <v>-45048</v>
      </c>
    </row>
    <row r="31" spans="1:4" x14ac:dyDescent="0.2">
      <c r="A31" s="22"/>
      <c r="B31" s="19" t="s">
        <v>38</v>
      </c>
      <c r="C31">
        <f>('Financial Statements'!B22+'Financial Statements'!B79-'Financial Statements'!B84)-Instructions!B19</f>
        <v>-6579</v>
      </c>
      <c r="D31">
        <f>('Financial Statements'!C22+'Financial Statements'!C79-'Financial Statements'!C84)-Instructions!C19</f>
        <v>15952</v>
      </c>
    </row>
    <row r="32" spans="1:4" x14ac:dyDescent="0.2">
      <c r="A32" s="22"/>
    </row>
    <row r="33" spans="1:4" x14ac:dyDescent="0.2">
      <c r="A33" s="22">
        <f>+A24+1</f>
        <v>4</v>
      </c>
      <c r="B33" s="23" t="s">
        <v>39</v>
      </c>
    </row>
    <row r="34" spans="1:4" x14ac:dyDescent="0.2">
      <c r="A34" s="22">
        <f>+A33+0.1</f>
        <v>4.0999999999999996</v>
      </c>
      <c r="B34" s="1" t="s">
        <v>40</v>
      </c>
      <c r="C34" s="29">
        <f>'Financial Statements'!B8/(('Financial Statements'!B48+'Financial Statements'!C48)/2)</f>
        <v>1.1638791518346421</v>
      </c>
      <c r="D34" s="29">
        <f>'Financial Statements'!C8/(('Financial Statements'!C48+'Financial Statements'!D48)/2)</f>
        <v>2.2343270344240507</v>
      </c>
    </row>
    <row r="35" spans="1:4" x14ac:dyDescent="0.2">
      <c r="A35" s="22">
        <f t="shared" ref="A35:A37" si="2">+A34+0.1</f>
        <v>4.1999999999999993</v>
      </c>
      <c r="B35" s="1" t="s">
        <v>41</v>
      </c>
      <c r="C35" s="29">
        <f>'Financial Statements'!B8/(('Financial Statements'!B47+'Financial Statements'!C47)/2)</f>
        <v>1.7882241199054367</v>
      </c>
      <c r="D35" s="29">
        <f>'Financial Statements'!C8/(('Financial Statements'!C47+'Financial Statements'!D47)/2)</f>
        <v>3.6284033996347054</v>
      </c>
    </row>
    <row r="36" spans="1:4" x14ac:dyDescent="0.2">
      <c r="A36" s="22">
        <f t="shared" si="2"/>
        <v>4.2999999999999989</v>
      </c>
      <c r="B36" s="1" t="s">
        <v>42</v>
      </c>
      <c r="C36" s="29">
        <f>Instructions!B18/(('Financial Statements'!B39+'Financial Statements'!C39)/2)</f>
        <v>8.9441419941830116</v>
      </c>
      <c r="D36" s="29">
        <f>Instructions!C18/(('Financial Statements'!C39+'Financial Statements'!D39)/2)</f>
        <v>14.295955882352942</v>
      </c>
    </row>
    <row r="37" spans="1:4" x14ac:dyDescent="0.2">
      <c r="A37" s="22">
        <f t="shared" si="2"/>
        <v>4.3999999999999986</v>
      </c>
      <c r="B37" s="1" t="s">
        <v>43</v>
      </c>
      <c r="C37" s="29">
        <f>'Financial Statements'!B77/(('Financial Statements'!B48+'Financial Statements'!C48)/2)</f>
        <v>-6.1637817812921752E-3</v>
      </c>
      <c r="D37" s="29">
        <f>'Financial Statements'!C77/(('Financial Statements'!C48+'Financial Statements'!D48)/2)</f>
        <v>0.15866878770369208</v>
      </c>
    </row>
    <row r="38" spans="1:4" x14ac:dyDescent="0.2">
      <c r="A38" s="22"/>
    </row>
    <row r="39" spans="1:4" x14ac:dyDescent="0.2">
      <c r="A39" s="22">
        <f>+A33+1</f>
        <v>5</v>
      </c>
      <c r="B39" s="23" t="s">
        <v>44</v>
      </c>
    </row>
    <row r="40" spans="1:4" x14ac:dyDescent="0.2">
      <c r="A40" s="22">
        <f>+A39+0.1</f>
        <v>5.0999999999999996</v>
      </c>
      <c r="B40" s="1" t="s">
        <v>45</v>
      </c>
      <c r="C40" s="29">
        <f>(Instructions!B20/'Financial Statements'!B27)/'Financial Statements'!B24</f>
        <v>-48.443673823985918</v>
      </c>
      <c r="D40" s="29">
        <f>(Instructions!C20/'Financial Statements'!C27)/'Financial Statements'!C24</f>
        <v>5.195575404135254</v>
      </c>
    </row>
    <row r="41" spans="1:4" x14ac:dyDescent="0.2">
      <c r="A41" s="22">
        <f t="shared" ref="A41:A44" si="3">+A40+0.1</f>
        <v>5.1999999999999993</v>
      </c>
      <c r="B41" s="19" t="s">
        <v>46</v>
      </c>
      <c r="C41" s="29">
        <f>'Financial Statements'!B22/'Financial Statements'!B27</f>
        <v>-0.2671508489547551</v>
      </c>
      <c r="D41" s="29">
        <f>'Financial Statements'!C22/'Financial Statements'!C27</f>
        <v>3.2978155579717305</v>
      </c>
    </row>
    <row r="42" spans="1:4" x14ac:dyDescent="0.2">
      <c r="A42" s="22">
        <f t="shared" si="3"/>
        <v>5.2999999999999989</v>
      </c>
      <c r="B42" s="1" t="s">
        <v>47</v>
      </c>
      <c r="C42" s="29">
        <f>(Instructions!B20/'Financial Statements'!B27)/('Financial Statements'!B68/'Financial Statements'!B27)</f>
        <v>0.91253945755702093</v>
      </c>
      <c r="D42" s="29">
        <f>(Instructions!C20/'Financial Statements'!C27)/('Financial Statements'!C68/'Financial Statements'!C27)</f>
        <v>1.2547289232883647</v>
      </c>
    </row>
    <row r="43" spans="1:4" x14ac:dyDescent="0.2">
      <c r="A43" s="22">
        <f t="shared" si="3"/>
        <v>5.3999999999999986</v>
      </c>
      <c r="B43" s="19" t="s">
        <v>48</v>
      </c>
      <c r="C43" s="29">
        <f>'Financial Statements'!B68/'Financial Statements'!B27</f>
        <v>14.333398763372264</v>
      </c>
      <c r="D43" s="29">
        <f>'Financial Statements'!C68/'Financial Statements'!C27</f>
        <v>13.66462390036572</v>
      </c>
    </row>
    <row r="44" spans="1:4" x14ac:dyDescent="0.2">
      <c r="A44" s="22">
        <f t="shared" si="3"/>
        <v>5.4999999999999982</v>
      </c>
      <c r="B44" s="1" t="s">
        <v>49</v>
      </c>
    </row>
    <row r="45" spans="1:4" x14ac:dyDescent="0.2">
      <c r="A45" s="22"/>
      <c r="B45" s="19" t="s">
        <v>50</v>
      </c>
      <c r="C45" t="s">
        <v>143</v>
      </c>
      <c r="D45" t="s">
        <v>143</v>
      </c>
    </row>
    <row r="46" spans="1:4" x14ac:dyDescent="0.2">
      <c r="A46" s="22">
        <f>+A44+0.1</f>
        <v>5.5999999999999979</v>
      </c>
      <c r="B46" s="1" t="s">
        <v>51</v>
      </c>
      <c r="C46" t="s">
        <v>143</v>
      </c>
      <c r="D46" t="s">
        <v>143</v>
      </c>
    </row>
    <row r="47" spans="1:4" x14ac:dyDescent="0.2">
      <c r="A47" s="22">
        <f t="shared" ref="A47:A50" si="4">+A45+0.1</f>
        <v>0.1</v>
      </c>
      <c r="B47" s="1" t="s">
        <v>52</v>
      </c>
      <c r="C47" s="29">
        <f>'Financial Statements'!B22/'Financial Statements'!B68</f>
        <v>-1.8638346240490815E-2</v>
      </c>
      <c r="D47" s="29">
        <f>'Financial Statements'!C22/'Financial Statements'!C68</f>
        <v>0.2413396506202756</v>
      </c>
    </row>
    <row r="48" spans="1:4" x14ac:dyDescent="0.2">
      <c r="A48" s="22">
        <f t="shared" si="4"/>
        <v>5.6999999999999975</v>
      </c>
      <c r="B48" s="1" t="s">
        <v>53</v>
      </c>
      <c r="C48" s="29">
        <f>C21/('Financial Statements'!B48-'Financial Statements'!B56)</f>
        <v>3.985915217943127E-2</v>
      </c>
      <c r="D48" s="29">
        <f>D21/('Financial Statements'!C48-'Financial Statements'!C56)</f>
        <v>8.9401796013410806E-2</v>
      </c>
    </row>
    <row r="49" spans="1:4" x14ac:dyDescent="0.2">
      <c r="A49" s="22"/>
      <c r="B49" s="1"/>
      <c r="C49" s="29"/>
      <c r="D49" s="29"/>
    </row>
    <row r="50" spans="1:4" x14ac:dyDescent="0.2">
      <c r="A50" s="22">
        <f t="shared" si="4"/>
        <v>5.7999999999999972</v>
      </c>
      <c r="B50" s="1" t="s">
        <v>54</v>
      </c>
      <c r="C50" s="29">
        <f>C51/C19</f>
        <v>29019.644235495245</v>
      </c>
      <c r="D50" s="29">
        <f>D51/D19</f>
        <v>24174.608295565689</v>
      </c>
    </row>
    <row r="51" spans="1:4" x14ac:dyDescent="0.2">
      <c r="A51" s="22"/>
      <c r="B51" s="19" t="s">
        <v>55</v>
      </c>
      <c r="C51">
        <f>(Instructions!B20*'Financial Statements'!B27)+140110-'Financial Statements'!B36</f>
        <v>1357974252</v>
      </c>
      <c r="D51">
        <f>(Instructions!C20*'Financial Statements'!C27)-'Financial Statements'!C36+48740</f>
        <v>1754907340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Thandi, Veer</cp:lastModifiedBy>
  <dcterms:created xsi:type="dcterms:W3CDTF">2020-05-19T16:15:53Z</dcterms:created>
  <dcterms:modified xsi:type="dcterms:W3CDTF">2024-07-26T18:17:01Z</dcterms:modified>
</cp:coreProperties>
</file>