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7e6712594450b6/Desktop/"/>
    </mc:Choice>
  </mc:AlternateContent>
  <xr:revisionPtr revIDLastSave="120" documentId="8_{EB2B7A1E-F800-43AD-84FF-785F75DC205A}" xr6:coauthVersionLast="47" xr6:coauthVersionMax="47" xr10:uidLastSave="{E152D253-3F32-4010-AD2D-B1005692FA89}"/>
  <bookViews>
    <workbookView xWindow="-110" yWindow="-110" windowWidth="19420" windowHeight="10300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6" i="1" l="1"/>
  <c r="D146" i="1"/>
  <c r="B146" i="1"/>
  <c r="C145" i="1"/>
  <c r="D145" i="1"/>
  <c r="B145" i="1"/>
  <c r="F144" i="1"/>
  <c r="C144" i="1"/>
  <c r="D144" i="1"/>
  <c r="B144" i="1"/>
  <c r="B142" i="1"/>
  <c r="C142" i="1"/>
  <c r="D142" i="1"/>
  <c r="B141" i="1"/>
  <c r="C141" i="1"/>
  <c r="D141" i="1"/>
  <c r="B139" i="1"/>
  <c r="C139" i="1"/>
  <c r="D139" i="1"/>
  <c r="B122" i="1"/>
  <c r="C122" i="1"/>
  <c r="B121" i="1"/>
  <c r="C121" i="1"/>
  <c r="B118" i="1"/>
  <c r="C118" i="1"/>
  <c r="B117" i="1"/>
  <c r="C117" i="1"/>
  <c r="B119" i="1"/>
  <c r="C119" i="1"/>
  <c r="C34" i="3"/>
  <c r="C32" i="3"/>
  <c r="C59" i="3"/>
  <c r="C58" i="3"/>
  <c r="C57" i="3"/>
  <c r="C50" i="3"/>
  <c r="C51" i="3" s="1"/>
  <c r="C46" i="3"/>
  <c r="C45" i="3"/>
  <c r="H41" i="3"/>
  <c r="I41" i="3"/>
  <c r="A16" i="3"/>
  <c r="D108" i="1"/>
  <c r="C108" i="1"/>
  <c r="B108" i="1"/>
  <c r="D99" i="1"/>
  <c r="C99" i="1"/>
  <c r="B99" i="1"/>
  <c r="C56" i="3" l="1"/>
  <c r="D68" i="1"/>
  <c r="E27" i="3" s="1"/>
  <c r="C68" i="1"/>
  <c r="B68" i="1"/>
  <c r="B134" i="1" s="1"/>
  <c r="D61" i="1"/>
  <c r="C61" i="1"/>
  <c r="C131" i="1" s="1"/>
  <c r="B61" i="1"/>
  <c r="D56" i="1"/>
  <c r="C56" i="1"/>
  <c r="B56" i="1"/>
  <c r="B130" i="1" s="1"/>
  <c r="D47" i="1"/>
  <c r="C47" i="1"/>
  <c r="C127" i="1" s="1"/>
  <c r="B47" i="1"/>
  <c r="B127" i="1" s="1"/>
  <c r="D42" i="1"/>
  <c r="C42" i="1"/>
  <c r="B42" i="1"/>
  <c r="B126" i="1" s="1"/>
  <c r="D17" i="1"/>
  <c r="C17" i="1"/>
  <c r="B17" i="1"/>
  <c r="D12" i="1"/>
  <c r="C12" i="1"/>
  <c r="B12" i="1"/>
  <c r="B137" i="1" s="1"/>
  <c r="D8" i="1"/>
  <c r="D140" i="1" s="1"/>
  <c r="C8" i="1"/>
  <c r="C140" i="1" s="1"/>
  <c r="B8" i="1"/>
  <c r="B140" i="1" s="1"/>
  <c r="E3" i="3"/>
  <c r="I3" i="3" s="1"/>
  <c r="D3" i="3"/>
  <c r="H3" i="3" s="1"/>
  <c r="C3" i="3"/>
  <c r="G3" i="3" s="1"/>
  <c r="D33" i="1"/>
  <c r="D73" i="1" s="1"/>
  <c r="C33" i="1"/>
  <c r="C73" i="1" s="1"/>
  <c r="B33" i="1"/>
  <c r="B73" i="1" s="1"/>
  <c r="C126" i="1" l="1"/>
  <c r="B131" i="1"/>
  <c r="D137" i="1"/>
  <c r="C137" i="1"/>
  <c r="D27" i="3"/>
  <c r="C134" i="1"/>
  <c r="C130" i="1"/>
  <c r="D9" i="3"/>
  <c r="D11" i="3"/>
  <c r="H8" i="3"/>
  <c r="D8" i="3" s="1"/>
  <c r="C41" i="3"/>
  <c r="C9" i="3"/>
  <c r="C11" i="3"/>
  <c r="G8" i="3"/>
  <c r="C8" i="3" s="1"/>
  <c r="E5" i="3"/>
  <c r="I13" i="3"/>
  <c r="G47" i="3"/>
  <c r="C27" i="3"/>
  <c r="E11" i="3"/>
  <c r="I8" i="3"/>
  <c r="E8" i="3" s="1"/>
  <c r="E9" i="3"/>
  <c r="C7" i="3"/>
  <c r="C6" i="3"/>
  <c r="C10" i="3"/>
  <c r="C40" i="3"/>
  <c r="D7" i="3"/>
  <c r="D6" i="3"/>
  <c r="D10" i="3"/>
  <c r="D40" i="3"/>
  <c r="B48" i="1"/>
  <c r="C33" i="3"/>
  <c r="G13" i="3"/>
  <c r="C5" i="3"/>
  <c r="E7" i="3"/>
  <c r="E6" i="3"/>
  <c r="D41" i="3"/>
  <c r="D13" i="1"/>
  <c r="D138" i="1" s="1"/>
  <c r="E10" i="3"/>
  <c r="E40" i="3"/>
  <c r="D5" i="3"/>
  <c r="H13" i="3"/>
  <c r="E41" i="3"/>
  <c r="C62" i="1"/>
  <c r="B13" i="1"/>
  <c r="C13" i="1"/>
  <c r="B62" i="1"/>
  <c r="B132" i="1" s="1"/>
  <c r="C48" i="1"/>
  <c r="D62" i="1"/>
  <c r="D48" i="1"/>
  <c r="A52" i="3"/>
  <c r="A54" i="3" s="1"/>
  <c r="A17" i="3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I39" i="3" l="1"/>
  <c r="E39" i="3" s="1"/>
  <c r="C128" i="1"/>
  <c r="C39" i="3"/>
  <c r="B128" i="1"/>
  <c r="C17" i="3"/>
  <c r="B138" i="1"/>
  <c r="B120" i="1"/>
  <c r="C120" i="1"/>
  <c r="C138" i="1"/>
  <c r="C69" i="1"/>
  <c r="C132" i="1"/>
  <c r="E12" i="3"/>
  <c r="C12" i="3"/>
  <c r="B18" i="1"/>
  <c r="B20" i="1" s="1"/>
  <c r="B22" i="1" s="1"/>
  <c r="C21" i="3" s="1"/>
  <c r="D14" i="3"/>
  <c r="D13" i="3"/>
  <c r="B69" i="1"/>
  <c r="B135" i="1" s="1"/>
  <c r="C26" i="3"/>
  <c r="C25" i="3"/>
  <c r="C18" i="1"/>
  <c r="C20" i="1" s="1"/>
  <c r="C22" i="1" s="1"/>
  <c r="D17" i="3"/>
  <c r="C14" i="3"/>
  <c r="C13" i="3"/>
  <c r="C47" i="3"/>
  <c r="C48" i="3"/>
  <c r="E13" i="3"/>
  <c r="E14" i="3"/>
  <c r="D12" i="3"/>
  <c r="D69" i="1"/>
  <c r="E26" i="3"/>
  <c r="E25" i="3"/>
  <c r="D26" i="3"/>
  <c r="D25" i="3"/>
  <c r="D18" i="1"/>
  <c r="D20" i="1" s="1"/>
  <c r="D22" i="1" s="1"/>
  <c r="E17" i="3"/>
  <c r="H39" i="3"/>
  <c r="A24" i="3"/>
  <c r="A25" i="3" s="1"/>
  <c r="A26" i="3" s="1"/>
  <c r="A27" i="3" s="1"/>
  <c r="A28" i="3" s="1"/>
  <c r="A29" i="3" s="1"/>
  <c r="A30" i="3" s="1"/>
  <c r="C52" i="3" l="1"/>
  <c r="B123" i="1"/>
  <c r="C29" i="3"/>
  <c r="C19" i="3"/>
  <c r="C18" i="3" s="1"/>
  <c r="C123" i="1"/>
  <c r="C54" i="3"/>
  <c r="C31" i="3"/>
  <c r="C42" i="3"/>
  <c r="C135" i="1"/>
  <c r="B76" i="1"/>
  <c r="B91" i="1" s="1"/>
  <c r="B109" i="1" s="1"/>
  <c r="C22" i="3"/>
  <c r="C49" i="3"/>
  <c r="D76" i="1"/>
  <c r="D91" i="1" s="1"/>
  <c r="D109" i="1" s="1"/>
  <c r="E29" i="3"/>
  <c r="E19" i="3"/>
  <c r="E18" i="3" s="1"/>
  <c r="E22" i="3"/>
  <c r="E21" i="3"/>
  <c r="E42" i="3"/>
  <c r="C55" i="3"/>
  <c r="C76" i="1"/>
  <c r="C91" i="1" s="1"/>
  <c r="C109" i="1" s="1"/>
  <c r="D19" i="3"/>
  <c r="D18" i="3" s="1"/>
  <c r="D29" i="3"/>
  <c r="D22" i="3"/>
  <c r="D21" i="3"/>
  <c r="C53" i="3"/>
  <c r="C61" i="3"/>
  <c r="C28" i="3"/>
  <c r="C20" i="3"/>
  <c r="D42" i="3"/>
  <c r="D39" i="3"/>
  <c r="A38" i="3"/>
  <c r="A44" i="3" s="1"/>
  <c r="A45" i="3" s="1"/>
  <c r="A46" i="3" s="1"/>
  <c r="A47" i="3" s="1"/>
  <c r="A48" i="3" s="1"/>
  <c r="A49" i="3" s="1"/>
  <c r="A51" i="3" s="1"/>
  <c r="A53" i="3" s="1"/>
  <c r="A55" i="3" s="1"/>
  <c r="A39" i="3"/>
  <c r="A40" i="3" s="1"/>
  <c r="A41" i="3" s="1"/>
  <c r="A42" i="3" s="1"/>
  <c r="D28" i="3" l="1"/>
  <c r="D61" i="3"/>
  <c r="D20" i="3"/>
  <c r="E20" i="3"/>
  <c r="E28" i="3"/>
  <c r="E61" i="3"/>
  <c r="F61" i="3" l="1"/>
  <c r="C35" i="3" s="1"/>
  <c r="C36" i="3" s="1"/>
  <c r="C3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Anurag Shandil</author>
  </authors>
  <commentList>
    <comment ref="E19" authorId="0" shapeId="0" xr:uid="{A9E4030C-E11C-4037-92A4-781335A7C731}">
      <text>
        <r>
          <rPr>
            <b/>
            <sz val="9"/>
            <color indexed="81"/>
            <rFont val="Tahoma"/>
            <family val="2"/>
          </rPr>
          <t>EBITA: NI+ Interest + Taxes +Depreciation &amp; Amortization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" authorId="0" shapeId="0" xr:uid="{4C1CD3EF-7EE9-40B5-B5BD-860170E4F5A4}">
      <text>
        <r>
          <rPr>
            <b/>
            <sz val="9"/>
            <color indexed="81"/>
            <rFont val="Tahoma"/>
            <family val="2"/>
          </rPr>
          <t>EBIT: NI+ Interest + Taxes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<sst xmlns="http://schemas.openxmlformats.org/spreadsheetml/2006/main" count="214" uniqueCount="186">
  <si>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</si>
  <si>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</si>
  <si>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</si>
  <si>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</si>
  <si>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</si>
  <si>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</si>
  <si>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</si>
  <si>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</si>
  <si>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</si>
  <si>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</si>
  <si>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</si>
  <si>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</si>
  <si>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</si>
  <si>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</si>
  <si>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</si>
  <si>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</si>
  <si>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</si>
  <si>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</si>
  <si>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</si>
  <si>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</si>
  <si>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</si>
  <si>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</si>
  <si>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</si>
  <si>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</si>
  <si>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</si>
  <si>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</si>
  <si>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</si>
  <si>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</si>
  <si>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</si>
  <si>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</si>
  <si>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</si>
  <si>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</si>
  <si>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</si>
  <si>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</si>
  <si>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</si>
  <si>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</si>
  <si>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</si>
  <si>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</si>
  <si>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</si>
  <si>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</si>
  <si>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</si>
  <si>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</si>
  <si>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</si>
  <si>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</si>
  <si>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</si>
  <si>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</si>
  <si>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</si>
  <si>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</si>
  <si>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</si>
  <si>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</si>
  <si>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</si>
  <si>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</si>
  <si>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</si>
  <si>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</si>
  <si>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</si>
  <si>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</si>
  <si>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</si>
  <si>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</si>
  <si>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</si>
  <si>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</si>
  <si>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</si>
  <si>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</si>
  <si>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</si>
  <si>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</si>
  <si>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</si>
  <si>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</si>
  <si>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</si>
  <si>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</si>
  <si>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</si>
  <si>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</si>
  <si>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</si>
  <si>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</si>
  <si>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</si>
  <si>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</si>
  <si>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</si>
  <si>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</si>
  <si>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</si>
  <si>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</si>
  <si>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</si>
  <si>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</si>
  <si>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</si>
  <si>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</si>
  <si>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</si>
  <si>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</si>
  <si>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</si>
  <si>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</si>
  <si>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</si>
  <si>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</si>
  <si>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</si>
  <si>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</si>
  <si>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</si>
  <si>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</si>
  <si>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</si>
  <si>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</si>
  <si>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</si>
  <si>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</si>
  <si>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</si>
  <si>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</si>
  <si>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</si>
  <si>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</si>
  <si>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</si>
  <si>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</si>
  <si>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</si>
  <si>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</si>
  <si>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</si>
  <si>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</si>
  <si>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</si>
  <si>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</si>
  <si>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</si>
  <si>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</si>
  <si>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</si>
  <si>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</si>
  <si>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</si>
  <si>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</si>
  <si>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</si>
  <si>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</si>
  <si>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</si>
  <si>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</si>
  <si>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</si>
  <si>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</si>
  <si>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</si>
  <si>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</si>
  <si>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</si>
  <si>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</si>
  <si>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</si>
  <si>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</si>
  <si>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</si>
  <si>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</si>
  <si>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</si>
  <si>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</si>
  <si>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</si>
  <si>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</si>
  <si>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</si>
  <si>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</si>
  <si>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</si>
  <si>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</si>
  <si>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</si>
  <si>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</si>
  <si>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</si>
  <si>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</si>
  <si>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</si>
  <si>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</si>
  <si>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</si>
  <si>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</si>
  <si>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</si>
  <si>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</si>
  <si>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</si>
  <si>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</si>
  <si>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Daily Operational Expenses</t>
  </si>
  <si>
    <t>Defensive Interval (days)</t>
  </si>
  <si>
    <t>Average Asset</t>
  </si>
  <si>
    <t>Average Inventory</t>
  </si>
  <si>
    <t>Price</t>
  </si>
  <si>
    <t>BV Per Share</t>
  </si>
  <si>
    <t>Market  Cap</t>
  </si>
  <si>
    <t>Total debt</t>
  </si>
  <si>
    <t>Cash</t>
  </si>
  <si>
    <t>Net Income</t>
  </si>
  <si>
    <t>Depreciation</t>
  </si>
  <si>
    <t>working Capital</t>
  </si>
  <si>
    <t>Post Tax Interest</t>
  </si>
  <si>
    <t>FCFF</t>
  </si>
  <si>
    <t>Capital Spending</t>
  </si>
  <si>
    <t>Income Tax Rate</t>
  </si>
  <si>
    <t>Growth Rates</t>
  </si>
  <si>
    <t>Net Sales</t>
  </si>
  <si>
    <t>Net Sales Product</t>
  </si>
  <si>
    <t>Net Sales Services</t>
  </si>
  <si>
    <t>Gross Profit</t>
  </si>
  <si>
    <t>Operating Expense Research and development</t>
  </si>
  <si>
    <t>Operating Expense SG&amp;A</t>
  </si>
  <si>
    <t>Net Profit</t>
  </si>
  <si>
    <t>Balance Sheet Items</t>
  </si>
  <si>
    <t>Total Non Current Assets</t>
  </si>
  <si>
    <t>Total Assets</t>
  </si>
  <si>
    <t>Total Current Liabilities</t>
  </si>
  <si>
    <t>Total Non Current Liabilities</t>
  </si>
  <si>
    <t>Total Liabilities</t>
  </si>
  <si>
    <t>Shareholders Equity</t>
  </si>
  <si>
    <t>Total Liabilities and Shareholders Equity</t>
  </si>
  <si>
    <t>COGS (Cost of goods sold)/Net Sales</t>
  </si>
  <si>
    <t>Gross profits/Net Sales</t>
  </si>
  <si>
    <t>Operating income/ Net Sales</t>
  </si>
  <si>
    <t>Net profit/Net Sales</t>
  </si>
  <si>
    <t>Operating expenses( R&amp;D) /Net sales</t>
  </si>
  <si>
    <t>Operating expenses( SG&amp;A) /Net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</si>
</sst>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0" fillId="5" borderId="0" xfId="0" applyFill="1"/>
    <xf numFmtId="2" fontId="0" fillId="0" borderId="0" xfId="0" applyNumberFormat="1"/>
    <xf numFmtId="9" fontId="0" fillId="0" borderId="0" xfId="3" applyFont="1"/>
    <xf numFmtId="0" fontId="0" fillId="0" borderId="0" xfId="3" applyNumberFormat="1" applyFont="1"/>
    <xf numFmtId="2" fontId="0" fillId="0" borderId="0" xfId="3" applyNumberFormat="1" applyFont="1"/>
    <xf numFmtId="165" fontId="0" fillId="0" borderId="0" xfId="0" applyNumberFormat="1"/>
    <xf numFmtId="165" fontId="2" fillId="0" borderId="0" xfId="0" applyNumberFormat="1" applyFont="1"/>
    <xf numFmtId="9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1" xfId="0" applyFont="1" applyBorder="1"/>
    <xf numFmtId="0" fontId="0" fillId="0" borderId="0" xfId="0" applyFont="1" applyFill="1" applyBorder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abSelected="1" topLeftCell="A16" workbookViewId="0">
      <selection activeCell="A22" sqref="A22:A24"/>
    </sheetView>
  </sheetViews>
  <sheetFormatPr defaultRowHeight="14.5" x14ac:dyDescent="0.35"/>
  <cols>
    <col min="1" max="1" width="104.54296875" customWidth="1"/>
  </cols>
  <sheetData>
    <row r="1" spans="1:2" ht="23.5" x14ac:dyDescent="0.55000000000000004">
      <c r="A1" s="5" t="s">
        <v>87</v>
      </c>
    </row>
    <row r="3" spans="1:2" x14ac:dyDescent="0.35">
      <c r="A3" s="7" t="s">
        <v>139</v>
      </c>
    </row>
    <row r="4" spans="1:2" x14ac:dyDescent="0.35">
      <c r="A4" s="16" t="s">
        <v>88</v>
      </c>
    </row>
    <row r="5" spans="1:2" x14ac:dyDescent="0.35">
      <c r="A5" s="7" t="s">
        <v>97</v>
      </c>
    </row>
    <row r="6" spans="1:2" x14ac:dyDescent="0.35">
      <c r="A6" s="1" t="s">
        <v>146</v>
      </c>
    </row>
    <row r="7" spans="1:2" x14ac:dyDescent="0.35">
      <c r="A7" s="1"/>
    </row>
    <row r="8" spans="1:2" x14ac:dyDescent="0.35">
      <c r="A8" s="17" t="s">
        <v>147</v>
      </c>
    </row>
    <row r="9" spans="1:2" x14ac:dyDescent="0.35">
      <c r="A9" s="1" t="s">
        <v>143</v>
      </c>
    </row>
    <row r="10" spans="1:2" x14ac:dyDescent="0.35">
      <c r="A10" s="1" t="s">
        <v>89</v>
      </c>
    </row>
    <row r="11" spans="1:2" x14ac:dyDescent="0.35">
      <c r="A11" s="1" t="s">
        <v>90</v>
      </c>
    </row>
    <row r="12" spans="1:2" x14ac:dyDescent="0.35">
      <c r="A12" s="1" t="s">
        <v>91</v>
      </c>
    </row>
    <row r="13" spans="1:2" x14ac:dyDescent="0.35">
      <c r="A13" s="1"/>
    </row>
    <row r="14" spans="1:2" x14ac:dyDescent="0.35">
      <c r="A14" s="17" t="s">
        <v>92</v>
      </c>
    </row>
    <row r="15" spans="1:2" x14ac:dyDescent="0.35">
      <c r="A15" s="1" t="s">
        <v>144</v>
      </c>
      <c r="B15" s="25"/>
    </row>
    <row r="16" spans="1:2" x14ac:dyDescent="0.35">
      <c r="A16" s="1" t="s">
        <v>89</v>
      </c>
      <c r="B16" s="25"/>
    </row>
    <row r="17" spans="1:1" x14ac:dyDescent="0.35">
      <c r="A17" s="1" t="s">
        <v>90</v>
      </c>
    </row>
    <row r="18" spans="1:1" x14ac:dyDescent="0.35">
      <c r="A18" s="1" t="s">
        <v>14</v>
      </c>
    </row>
    <row r="19" spans="1:1" x14ac:dyDescent="0.35">
      <c r="A19" s="1" t="s">
        <v>93</v>
      </c>
    </row>
    <row r="20" spans="1:1" x14ac:dyDescent="0.35">
      <c r="A20" s="1"/>
    </row>
    <row r="21" spans="1:1" x14ac:dyDescent="0.35">
      <c r="A21" s="17" t="s">
        <v>98</v>
      </c>
    </row>
    <row r="22" spans="1:1" x14ac:dyDescent="0.35">
      <c r="A22" s="1" t="s">
        <v>94</v>
      </c>
    </row>
    <row r="23" spans="1:1" x14ac:dyDescent="0.35">
      <c r="A23" s="1" t="s">
        <v>95</v>
      </c>
    </row>
    <row r="24" spans="1:1" x14ac:dyDescent="0.35">
      <c r="A24" s="1" t="s">
        <v>96</v>
      </c>
    </row>
    <row r="25" spans="1:1" x14ac:dyDescent="0.35">
      <c r="A25" s="1"/>
    </row>
    <row r="26" spans="1:1" x14ac:dyDescent="0.35">
      <c r="A26" s="17" t="s">
        <v>142</v>
      </c>
    </row>
    <row r="27" spans="1:1" x14ac:dyDescent="0.35">
      <c r="A27" s="16" t="s">
        <v>141</v>
      </c>
    </row>
    <row r="29" spans="1:1" x14ac:dyDescent="0.35">
      <c r="A29" s="7" t="s">
        <v>145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6"/>
  <sheetViews>
    <sheetView workbookViewId="0">
      <pane xSplit="1" ySplit="4" topLeftCell="B136" activePane="bottomRight" state="frozen"/>
      <selection pane="topRight" activeCell="B1" sqref="B1"/>
      <selection pane="bottomLeft" activeCell="A5" sqref="A5"/>
      <selection pane="bottomRight" activeCell="B146" sqref="B146:D146"/>
    </sheetView>
  </sheetViews>
  <sheetFormatPr defaultRowHeight="14.5" x14ac:dyDescent="0.35"/>
  <cols>
    <col min="1" max="1" width="59" customWidth="1"/>
    <col min="2" max="2" width="12.54296875" customWidth="1"/>
    <col min="3" max="3" width="11.54296875" bestFit="1" customWidth="1"/>
    <col min="4" max="4" width="11.6328125" bestFit="1" customWidth="1"/>
  </cols>
  <sheetData>
    <row r="1" spans="1:10" ht="60" customHeight="1" x14ac:dyDescent="0.3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5">
      <c r="A2" s="32" t="s">
        <v>1</v>
      </c>
      <c r="B2" s="32"/>
      <c r="C2" s="32"/>
      <c r="D2" s="32"/>
    </row>
    <row r="3" spans="1:10" x14ac:dyDescent="0.35">
      <c r="B3" s="31" t="s">
        <v>23</v>
      </c>
      <c r="C3" s="31"/>
      <c r="D3" s="31"/>
    </row>
    <row r="4" spans="1:10" x14ac:dyDescent="0.35">
      <c r="B4" s="7">
        <v>2022</v>
      </c>
      <c r="C4" s="7">
        <v>2021</v>
      </c>
      <c r="D4" s="7">
        <v>2020</v>
      </c>
    </row>
    <row r="5" spans="1:10" x14ac:dyDescent="0.35">
      <c r="A5" t="s">
        <v>3</v>
      </c>
    </row>
    <row r="6" spans="1:10" x14ac:dyDescent="0.3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5">
      <c r="A9" t="s">
        <v>7</v>
      </c>
      <c r="B9" s="12"/>
      <c r="C9" s="12"/>
      <c r="D9" s="12"/>
    </row>
    <row r="10" spans="1:10" x14ac:dyDescent="0.3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5">
      <c r="A14" t="s">
        <v>10</v>
      </c>
      <c r="B14" s="12"/>
      <c r="C14" s="12"/>
      <c r="D14" s="12"/>
    </row>
    <row r="15" spans="1:10" x14ac:dyDescent="0.3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5">
      <c r="A16" s="1" t="s">
        <v>12</v>
      </c>
      <c r="B16" s="12">
        <v>25094</v>
      </c>
      <c r="C16" s="12">
        <v>21973</v>
      </c>
      <c r="D16" s="12">
        <v>19916</v>
      </c>
    </row>
    <row r="17" spans="1:6" x14ac:dyDescent="0.3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6" s="7" customFormat="1" x14ac:dyDescent="0.3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  <c r="E18" s="29"/>
    </row>
    <row r="19" spans="1:6" x14ac:dyDescent="0.35">
      <c r="A19" t="s">
        <v>15</v>
      </c>
      <c r="B19" s="12">
        <v>-334</v>
      </c>
      <c r="C19" s="12">
        <v>258</v>
      </c>
      <c r="D19" s="12">
        <v>803</v>
      </c>
    </row>
    <row r="20" spans="1:6" x14ac:dyDescent="0.3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  <c r="F20" s="28"/>
    </row>
    <row r="21" spans="1:6" x14ac:dyDescent="0.35">
      <c r="A21" t="s">
        <v>17</v>
      </c>
      <c r="B21" s="12">
        <v>19300</v>
      </c>
      <c r="C21" s="12">
        <v>14527</v>
      </c>
      <c r="D21" s="12">
        <v>9680</v>
      </c>
    </row>
    <row r="22" spans="1:6" ht="15" thickBot="1" x14ac:dyDescent="0.4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6" ht="15" thickTop="1" x14ac:dyDescent="0.35">
      <c r="A23" t="s">
        <v>19</v>
      </c>
    </row>
    <row r="24" spans="1:6" x14ac:dyDescent="0.35">
      <c r="A24" s="1" t="s">
        <v>20</v>
      </c>
      <c r="B24" s="10">
        <v>6.15</v>
      </c>
      <c r="C24" s="10">
        <v>5.67</v>
      </c>
      <c r="D24" s="10">
        <v>3.31</v>
      </c>
    </row>
    <row r="25" spans="1:6" x14ac:dyDescent="0.35">
      <c r="A25" s="1" t="s">
        <v>21</v>
      </c>
      <c r="B25" s="10">
        <v>6.11</v>
      </c>
      <c r="C25" s="10">
        <v>5.61</v>
      </c>
      <c r="D25" s="10">
        <v>3.28</v>
      </c>
    </row>
    <row r="26" spans="1:6" x14ac:dyDescent="0.35">
      <c r="A26" t="s">
        <v>22</v>
      </c>
    </row>
    <row r="27" spans="1:6" x14ac:dyDescent="0.35">
      <c r="A27" s="1" t="s">
        <v>20</v>
      </c>
      <c r="B27" s="2">
        <v>16215963</v>
      </c>
      <c r="C27" s="2">
        <v>16701272</v>
      </c>
      <c r="D27" s="2">
        <v>17352119</v>
      </c>
    </row>
    <row r="28" spans="1:6" x14ac:dyDescent="0.35">
      <c r="A28" s="1" t="s">
        <v>21</v>
      </c>
      <c r="B28" s="2">
        <v>16325819</v>
      </c>
      <c r="C28" s="2">
        <v>16864919</v>
      </c>
      <c r="D28" s="2">
        <v>17528214</v>
      </c>
    </row>
    <row r="29" spans="1:6" x14ac:dyDescent="0.35">
      <c r="B29">
        <v>16215.963</v>
      </c>
    </row>
    <row r="31" spans="1:6" x14ac:dyDescent="0.35">
      <c r="A31" s="32" t="s">
        <v>24</v>
      </c>
      <c r="B31" s="32"/>
      <c r="C31" s="32"/>
      <c r="D31" s="32"/>
    </row>
    <row r="32" spans="1:6" x14ac:dyDescent="0.35">
      <c r="B32" s="31" t="s">
        <v>140</v>
      </c>
      <c r="C32" s="31"/>
      <c r="D32" s="31"/>
    </row>
    <row r="33" spans="1:4" x14ac:dyDescent="0.3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5">
      <c r="A35" t="s">
        <v>25</v>
      </c>
    </row>
    <row r="36" spans="1:4" x14ac:dyDescent="0.3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5">
      <c r="A43" t="s">
        <v>48</v>
      </c>
      <c r="B43" s="12"/>
      <c r="C43" s="12"/>
      <c r="D43" s="12"/>
    </row>
    <row r="44" spans="1:4" x14ac:dyDescent="0.3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4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5"/>
    <row r="50" spans="1:4" x14ac:dyDescent="0.35">
      <c r="A50" t="s">
        <v>34</v>
      </c>
    </row>
    <row r="51" spans="1:4" x14ac:dyDescent="0.3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5">
      <c r="A57" t="s">
        <v>51</v>
      </c>
      <c r="B57" s="12"/>
      <c r="C57" s="12"/>
      <c r="D57" s="12"/>
    </row>
    <row r="58" spans="1:4" x14ac:dyDescent="0.35">
      <c r="A58" s="1" t="s">
        <v>37</v>
      </c>
      <c r="B58" s="12"/>
      <c r="C58" s="12"/>
      <c r="D58" s="12"/>
    </row>
    <row r="59" spans="1:4" x14ac:dyDescent="0.3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5">
      <c r="B63" s="12"/>
      <c r="C63" s="12"/>
      <c r="D63" s="12"/>
    </row>
    <row r="64" spans="1:4" x14ac:dyDescent="0.35">
      <c r="A64" t="s">
        <v>42</v>
      </c>
      <c r="B64" s="12"/>
      <c r="C64" s="12"/>
      <c r="D64" s="12"/>
    </row>
    <row r="65" spans="1:4" x14ac:dyDescent="0.3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4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5"/>
    <row r="71" spans="1:4" x14ac:dyDescent="0.35">
      <c r="A71" s="32" t="s">
        <v>55</v>
      </c>
      <c r="B71" s="32"/>
      <c r="C71" s="32"/>
      <c r="D71" s="32"/>
    </row>
    <row r="72" spans="1:4" x14ac:dyDescent="0.35">
      <c r="B72" s="31" t="s">
        <v>23</v>
      </c>
      <c r="C72" s="31"/>
      <c r="D72" s="31"/>
    </row>
    <row r="73" spans="1:4" x14ac:dyDescent="0.3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5">
      <c r="A75" s="7" t="s">
        <v>56</v>
      </c>
      <c r="B75" s="15"/>
      <c r="C75" s="15"/>
      <c r="D75" s="15"/>
    </row>
    <row r="76" spans="1:4" x14ac:dyDescent="0.3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5">
      <c r="A77" s="11" t="s">
        <v>18</v>
      </c>
      <c r="B77" s="15"/>
      <c r="C77" s="15"/>
      <c r="D77" s="15"/>
    </row>
    <row r="78" spans="1:4" x14ac:dyDescent="0.35">
      <c r="A78" s="1" t="s">
        <v>58</v>
      </c>
      <c r="B78" s="12"/>
      <c r="C78" s="12"/>
      <c r="D78" s="12"/>
    </row>
    <row r="79" spans="1:4" x14ac:dyDescent="0.3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5">
      <c r="A83" t="s">
        <v>62</v>
      </c>
      <c r="B83" s="12"/>
      <c r="C83" s="12"/>
      <c r="D83" s="12"/>
    </row>
    <row r="84" spans="1:4" x14ac:dyDescent="0.3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5">
      <c r="A92" s="7" t="s">
        <v>64</v>
      </c>
      <c r="B92" s="12"/>
      <c r="C92" s="12"/>
      <c r="D92" s="12"/>
    </row>
    <row r="93" spans="1:4" x14ac:dyDescent="0.3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5">
      <c r="A100" s="7" t="s">
        <v>71</v>
      </c>
      <c r="B100" s="12"/>
      <c r="C100" s="12"/>
      <c r="D100" s="12"/>
    </row>
    <row r="101" spans="1:4" x14ac:dyDescent="0.3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4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5">
      <c r="B111" s="12"/>
      <c r="C111" s="12"/>
      <c r="D111" s="12"/>
    </row>
    <row r="112" spans="1:4" x14ac:dyDescent="0.35">
      <c r="A112" t="s">
        <v>80</v>
      </c>
      <c r="B112" s="12"/>
      <c r="C112" s="12"/>
      <c r="D112" s="12"/>
    </row>
    <row r="113" spans="1:4" x14ac:dyDescent="0.3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5">
      <c r="A114" t="s">
        <v>82</v>
      </c>
      <c r="B114" s="12">
        <v>2865</v>
      </c>
      <c r="C114" s="12">
        <v>2687</v>
      </c>
      <c r="D114" s="12">
        <v>3002</v>
      </c>
    </row>
    <row r="116" spans="1:4" x14ac:dyDescent="0.35">
      <c r="A116" s="7" t="s">
        <v>164</v>
      </c>
    </row>
    <row r="117" spans="1:4" x14ac:dyDescent="0.35">
      <c r="A117" t="s">
        <v>166</v>
      </c>
      <c r="B117" s="25">
        <f>(B6-C6)/C6</f>
        <v>6.3239764351428418E-2</v>
      </c>
      <c r="C117" s="25">
        <f>(C6-D6)/D6</f>
        <v>0.34720743656765435</v>
      </c>
    </row>
    <row r="118" spans="1:4" x14ac:dyDescent="0.35">
      <c r="A118" t="s">
        <v>167</v>
      </c>
      <c r="B118" s="25">
        <f>(B7-C7)/C7</f>
        <v>0.14181951041286078</v>
      </c>
      <c r="C118" s="25">
        <f>(C7-D7)/D7</f>
        <v>0.27259708376729652</v>
      </c>
    </row>
    <row r="119" spans="1:4" x14ac:dyDescent="0.35">
      <c r="A119" t="s">
        <v>165</v>
      </c>
      <c r="B119" s="25">
        <f>(B6-C6)/C6</f>
        <v>6.3239764351428418E-2</v>
      </c>
      <c r="C119" s="25">
        <f>(C6-D6)/D6</f>
        <v>0.34720743656765435</v>
      </c>
      <c r="D119" s="25"/>
    </row>
    <row r="120" spans="1:4" x14ac:dyDescent="0.35">
      <c r="A120" t="s">
        <v>168</v>
      </c>
      <c r="B120" s="25">
        <f>(B13-C13)/C13</f>
        <v>0.11741997958596143</v>
      </c>
      <c r="C120" s="25">
        <f>(C13-D13)/D13</f>
        <v>0.45619116582186819</v>
      </c>
    </row>
    <row r="121" spans="1:4" x14ac:dyDescent="0.35">
      <c r="A121" t="s">
        <v>169</v>
      </c>
      <c r="B121" s="25">
        <f>(B15-C15)/C15</f>
        <v>0.19791001186456147</v>
      </c>
      <c r="C121" s="25">
        <f>(C15-D15)/D15</f>
        <v>0.16862201365187712</v>
      </c>
    </row>
    <row r="122" spans="1:4" x14ac:dyDescent="0.35">
      <c r="A122" t="s">
        <v>170</v>
      </c>
      <c r="B122" s="25">
        <f>(B16-C16)/C16</f>
        <v>0.14203795567287125</v>
      </c>
      <c r="C122" s="25">
        <f>(C16-D16)/D16</f>
        <v>0.10328379192608958</v>
      </c>
    </row>
    <row r="123" spans="1:4" x14ac:dyDescent="0.35">
      <c r="A123" t="s">
        <v>171</v>
      </c>
      <c r="B123" s="25">
        <f>(B22-C22)/C22</f>
        <v>5.4108576256865229E-2</v>
      </c>
      <c r="C123" s="25">
        <f>(C22-D22)/D22</f>
        <v>0.64916131055024295</v>
      </c>
    </row>
    <row r="125" spans="1:4" x14ac:dyDescent="0.35">
      <c r="A125" s="7" t="s">
        <v>172</v>
      </c>
    </row>
    <row r="126" spans="1:4" x14ac:dyDescent="0.35">
      <c r="A126" s="33" t="s">
        <v>31</v>
      </c>
      <c r="B126" s="25">
        <f>(B42-C42)/C42</f>
        <v>4.2199412619775131E-3</v>
      </c>
      <c r="C126" s="25">
        <f>(C42-D42)/D42</f>
        <v>-6.176894226687913E-2</v>
      </c>
    </row>
    <row r="127" spans="1:4" x14ac:dyDescent="0.35">
      <c r="A127" s="34" t="s">
        <v>173</v>
      </c>
      <c r="B127" s="25">
        <f>(B47-C47)/C47</f>
        <v>5.4772720964443994E-3</v>
      </c>
      <c r="C127" s="25">
        <f>(C47-D47)/D47</f>
        <v>0.19975579297904814</v>
      </c>
    </row>
    <row r="128" spans="1:4" x14ac:dyDescent="0.35">
      <c r="A128" s="34" t="s">
        <v>174</v>
      </c>
      <c r="B128" s="25">
        <f>(B48-C48)/C48</f>
        <v>4.9942735369029236E-3</v>
      </c>
      <c r="C128" s="25">
        <f>(C48-D48)/D48</f>
        <v>8.3714123400681711E-2</v>
      </c>
    </row>
    <row r="130" spans="1:6" x14ac:dyDescent="0.35">
      <c r="A130" t="s">
        <v>175</v>
      </c>
      <c r="B130" s="25">
        <f>(B56-C56)/C56</f>
        <v>0.22713398841258836</v>
      </c>
      <c r="C130" s="25">
        <f>(C56-D56)/D56</f>
        <v>0.19061219067860938</v>
      </c>
    </row>
    <row r="131" spans="1:6" x14ac:dyDescent="0.35">
      <c r="A131" t="s">
        <v>176</v>
      </c>
      <c r="B131" s="25">
        <f>(B61-C61)/C61</f>
        <v>-8.8222075835277747E-2</v>
      </c>
      <c r="C131" s="25">
        <f>(C61-D61)/D61</f>
        <v>6.0552243775994566E-2</v>
      </c>
    </row>
    <row r="132" spans="1:6" x14ac:dyDescent="0.35">
      <c r="A132" t="s">
        <v>177</v>
      </c>
      <c r="B132" s="25">
        <f>('Financial Statements'!B62-'Financial Statements'!C62)/'Financial Statements'!C62</f>
        <v>4.9219900525160468E-2</v>
      </c>
      <c r="C132" s="25">
        <f>('Financial Statements'!C62-'Financial Statements'!D62)/'Financial Statements'!D62</f>
        <v>0.11356841449783213</v>
      </c>
    </row>
    <row r="134" spans="1:6" x14ac:dyDescent="0.35">
      <c r="A134" t="s">
        <v>178</v>
      </c>
      <c r="B134" s="25">
        <f>(B68-C68)/C68</f>
        <v>-0.19682992550324932</v>
      </c>
      <c r="C134" s="25">
        <f>(C68-D68)/D68</f>
        <v>-3.4420483937617659E-2</v>
      </c>
    </row>
    <row r="135" spans="1:6" x14ac:dyDescent="0.35">
      <c r="A135" t="s">
        <v>179</v>
      </c>
      <c r="B135" s="25">
        <f>(B69-C69)/C69</f>
        <v>4.9942735369029236E-3</v>
      </c>
      <c r="C135" s="25">
        <f>(C69-D69)/D69</f>
        <v>8.3714123400681711E-2</v>
      </c>
    </row>
    <row r="137" spans="1:6" x14ac:dyDescent="0.35">
      <c r="A137" s="1" t="s">
        <v>180</v>
      </c>
      <c r="B137" s="25">
        <f t="shared" ref="B137:C137" si="23">B12/B8</f>
        <v>0.56690369438639909</v>
      </c>
      <c r="C137" s="25">
        <f t="shared" si="23"/>
        <v>0.58220640374832222</v>
      </c>
      <c r="D137" s="25">
        <f>D12/D8</f>
        <v>0.61766752272189129</v>
      </c>
    </row>
    <row r="138" spans="1:6" x14ac:dyDescent="0.35">
      <c r="A138" s="1" t="s">
        <v>181</v>
      </c>
      <c r="B138" s="25">
        <f t="shared" ref="B138:C138" si="24">B13/B8</f>
        <v>0.43309630561360085</v>
      </c>
      <c r="C138" s="25">
        <f t="shared" si="24"/>
        <v>0.41779359625167778</v>
      </c>
      <c r="D138" s="25">
        <f>D13/D8</f>
        <v>0.38233247727810865</v>
      </c>
    </row>
    <row r="139" spans="1:6" x14ac:dyDescent="0.35">
      <c r="A139" s="1" t="s">
        <v>185</v>
      </c>
      <c r="B139" s="25">
        <f t="shared" ref="B139:C139" si="25">B16/B8</f>
        <v>6.3637378020328261E-2</v>
      </c>
      <c r="C139" s="25">
        <f t="shared" si="25"/>
        <v>6.006555190163388E-2</v>
      </c>
      <c r="D139" s="25">
        <f>D16/D8</f>
        <v>7.2549769593646979E-2</v>
      </c>
    </row>
    <row r="140" spans="1:6" x14ac:dyDescent="0.35">
      <c r="A140" s="1" t="s">
        <v>184</v>
      </c>
      <c r="B140" s="25">
        <f t="shared" ref="B140:C140" si="26">B15/B8</f>
        <v>6.657148363798665E-2</v>
      </c>
      <c r="C140" s="25">
        <f t="shared" si="26"/>
        <v>5.9904269074427925E-2</v>
      </c>
      <c r="D140" s="25">
        <f>D15/D8</f>
        <v>6.8309564140393061E-2</v>
      </c>
    </row>
    <row r="141" spans="1:6" x14ac:dyDescent="0.35">
      <c r="A141" s="1" t="s">
        <v>182</v>
      </c>
      <c r="B141" s="25">
        <f t="shared" ref="B141:C141" si="27">B18/B8</f>
        <v>0.30288744395528594</v>
      </c>
      <c r="C141" s="25">
        <f t="shared" si="27"/>
        <v>0.29782377527561593</v>
      </c>
      <c r="D141" s="25">
        <f>D18/D8</f>
        <v>0.24147314354406862</v>
      </c>
    </row>
    <row r="142" spans="1:6" x14ac:dyDescent="0.35">
      <c r="A142" s="1" t="s">
        <v>183</v>
      </c>
      <c r="B142" s="25">
        <f t="shared" ref="B142:C142" si="28">B22/B8</f>
        <v>0.25309640705199732</v>
      </c>
      <c r="C142" s="25">
        <f t="shared" si="28"/>
        <v>0.25881793355694238</v>
      </c>
      <c r="D142" s="25">
        <f>D22/D8</f>
        <v>0.20913611278072236</v>
      </c>
    </row>
    <row r="144" spans="1:6" x14ac:dyDescent="0.35">
      <c r="A144" s="1" t="s">
        <v>94</v>
      </c>
      <c r="B144" s="25">
        <f>B21/B22</f>
        <v>0.19338096049216957</v>
      </c>
      <c r="C144" s="25">
        <f t="shared" ref="C144:D144" si="29">C21/C22</f>
        <v>0.15343261512463033</v>
      </c>
      <c r="D144" s="25">
        <f t="shared" si="29"/>
        <v>0.16860880319102611</v>
      </c>
      <c r="F144" s="30">
        <f>AVERAGE(B144:D144)</f>
        <v>0.17180745960260868</v>
      </c>
    </row>
    <row r="145" spans="1:4" x14ac:dyDescent="0.35">
      <c r="A145" s="1" t="s">
        <v>95</v>
      </c>
      <c r="B145" s="25">
        <f>-B96/B8</f>
        <v>2.7155058732831552E-2</v>
      </c>
      <c r="C145" s="25">
        <f>-C96/C8</f>
        <v>3.0302036264033657E-2</v>
      </c>
      <c r="D145" s="25">
        <f t="shared" ref="C145:D145" si="30">-D96/D8</f>
        <v>2.6625138881299748E-2</v>
      </c>
    </row>
    <row r="146" spans="1:4" x14ac:dyDescent="0.35">
      <c r="A146" s="1" t="s">
        <v>96</v>
      </c>
      <c r="B146" s="25">
        <f>-B96/B45</f>
        <v>0.25424412944891611</v>
      </c>
      <c r="C146" s="25">
        <f t="shared" ref="C146:D146" si="31">-C96/C45</f>
        <v>0.28105983772819471</v>
      </c>
      <c r="D146" s="25">
        <f t="shared" si="31"/>
        <v>0.19879780231735844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1"/>
  <sheetViews>
    <sheetView topLeftCell="B1" workbookViewId="0">
      <pane xSplit="1" ySplit="3" topLeftCell="C7" activePane="bottomRight" state="frozen"/>
      <selection activeCell="B1" sqref="B1"/>
      <selection pane="topRight" activeCell="C1" sqref="C1"/>
      <selection pane="bottomLeft" activeCell="B4" sqref="B4"/>
      <selection pane="bottomRight" activeCell="K7" sqref="K7"/>
    </sheetView>
  </sheetViews>
  <sheetFormatPr defaultRowHeight="14.5" x14ac:dyDescent="0.35"/>
  <cols>
    <col min="1" max="1" width="4.6328125" customWidth="1"/>
    <col min="2" max="2" width="44.90625" customWidth="1"/>
    <col min="3" max="3" width="11.81640625" bestFit="1" customWidth="1"/>
    <col min="6" max="6" width="11.7265625" customWidth="1"/>
  </cols>
  <sheetData>
    <row r="1" spans="1:10" ht="60" customHeight="1" x14ac:dyDescent="0.6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5">
      <c r="C2" s="31" t="s">
        <v>23</v>
      </c>
      <c r="D2" s="31"/>
      <c r="E2" s="31"/>
    </row>
    <row r="3" spans="1:10" x14ac:dyDescent="0.3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G3" s="7">
        <f>C3</f>
        <v>2022</v>
      </c>
      <c r="H3" s="7">
        <f t="shared" ref="H3:I3" si="0">D3</f>
        <v>2021</v>
      </c>
      <c r="I3" s="7">
        <f t="shared" si="0"/>
        <v>2020</v>
      </c>
    </row>
    <row r="4" spans="1:10" x14ac:dyDescent="0.35">
      <c r="A4" s="18">
        <v>1</v>
      </c>
      <c r="B4" s="7" t="s">
        <v>99</v>
      </c>
      <c r="C4" s="23"/>
      <c r="D4" s="23"/>
      <c r="E4" s="23"/>
    </row>
    <row r="5" spans="1:10" x14ac:dyDescent="0.35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0" x14ac:dyDescent="0.35">
      <c r="A6" s="18">
        <f t="shared" ref="A6:A13" si="1">+A5+0.1</f>
        <v>1.2000000000000002</v>
      </c>
      <c r="B6" s="1" t="s">
        <v>101</v>
      </c>
      <c r="C6" s="24">
        <f>('Financial Statements'!B36+'Financial Statements'!B37+'Financial Statements'!B38)/'Financial Statements'!B56</f>
        <v>0.49673338442155579</v>
      </c>
      <c r="D6" s="24">
        <f>('Financial Statements'!C36+'Financial Statements'!C37+'Financial Statements'!C38)/'Financial Statements'!C56</f>
        <v>0.70860927152317876</v>
      </c>
      <c r="E6" s="24">
        <f>('Financial Statements'!D36+'Financial Statements'!D37+'Financial Statements'!D38)/'Financial Statements'!D56</f>
        <v>1.0158550933657204</v>
      </c>
    </row>
    <row r="7" spans="1:10" x14ac:dyDescent="0.35">
      <c r="A7" s="18">
        <f t="shared" si="1"/>
        <v>1.3000000000000003</v>
      </c>
      <c r="B7" s="1" t="s">
        <v>102</v>
      </c>
      <c r="C7" s="24">
        <f>('Financial Statements'!B36+'Financial Statements'!B37)/'Financial Statements'!B56</f>
        <v>0.31369900377966253</v>
      </c>
      <c r="D7" s="24">
        <f>('Financial Statements'!C36+'Financial Statements'!C37)/'Financial Statements'!C56</f>
        <v>0.49919111259872012</v>
      </c>
      <c r="E7" s="24">
        <f>('Financial Statements'!D36+'Financial Statements'!D37)/'Financial Statements'!D56</f>
        <v>0.86290230757552755</v>
      </c>
    </row>
    <row r="8" spans="1:10" x14ac:dyDescent="0.35">
      <c r="A8" s="18">
        <f t="shared" si="1"/>
        <v>1.4000000000000004</v>
      </c>
      <c r="B8" s="1" t="s">
        <v>149</v>
      </c>
      <c r="C8" s="24">
        <f>('Financial Statements'!B36+'Financial Statements'!B37+'Financial Statements'!B38)/'List of Ratios'!G8</f>
        <v>101.56069132856295</v>
      </c>
      <c r="D8" s="24">
        <f>('Financial Statements'!C36+'Financial Statements'!C37+'Financial Statements'!C38)/'List of Ratios'!H8</f>
        <v>126.34779341918806</v>
      </c>
      <c r="E8" s="24">
        <f>('Financial Statements'!D36+'Financial Statements'!D37+'Financial Statements'!D38)/'List of Ratios'!I8</f>
        <v>187.67016285111922</v>
      </c>
      <c r="F8" s="23" t="s">
        <v>148</v>
      </c>
      <c r="G8" s="24">
        <f>('Financial Statements'!B12+'Financial Statements'!B17)/365</f>
        <v>753.12602739726026</v>
      </c>
      <c r="H8" s="24">
        <f>('Financial Statements'!C12+'Financial Statements'!C17)/365</f>
        <v>703.74794520547948</v>
      </c>
      <c r="I8" s="24">
        <f>('Financial Statements'!D12+'Financial Statements'!D17)/365</f>
        <v>570.48493150684931</v>
      </c>
    </row>
    <row r="9" spans="1:10" x14ac:dyDescent="0.35">
      <c r="A9" s="18">
        <f>+A8+0.1</f>
        <v>1.5000000000000004</v>
      </c>
      <c r="B9" s="1" t="s">
        <v>103</v>
      </c>
      <c r="C9" s="24">
        <f>('Financial Statements'!B51/'Financial Statements'!B12)*365</f>
        <v>104.68527730310539</v>
      </c>
      <c r="D9" s="24">
        <f>('Financial Statements'!C51/'Financial Statements'!C12)*365</f>
        <v>93.851071222315596</v>
      </c>
      <c r="E9" s="24">
        <f>('Financial Statements'!D51/'Financial Statements'!D12)*365</f>
        <v>91.048189715674198</v>
      </c>
      <c r="F9" s="24"/>
    </row>
    <row r="10" spans="1:10" x14ac:dyDescent="0.35">
      <c r="A10" s="18">
        <f t="shared" si="1"/>
        <v>1.6000000000000005</v>
      </c>
      <c r="B10" s="1" t="s">
        <v>105</v>
      </c>
      <c r="C10" s="24">
        <f>('Financial Statements'!B38/'Financial Statements'!B8)*365</f>
        <v>26.087825363656648</v>
      </c>
      <c r="D10" s="24">
        <f>('Financial Statements'!C38/'Financial Statements'!C8)*365</f>
        <v>26.219311841713207</v>
      </c>
      <c r="E10" s="24">
        <f>('Financial Statements'!D38/'Financial Statements'!D8)*365</f>
        <v>21.433437152796749</v>
      </c>
    </row>
    <row r="11" spans="1:10" x14ac:dyDescent="0.35">
      <c r="A11" s="18">
        <f t="shared" si="1"/>
        <v>1.7000000000000006</v>
      </c>
      <c r="B11" s="1" t="s">
        <v>104</v>
      </c>
      <c r="C11" s="24">
        <f>('Financial Statements'!B51/'Financial Statements'!B12)*365</f>
        <v>104.68527730310539</v>
      </c>
      <c r="D11" s="24">
        <f>('Financial Statements'!C51/'Financial Statements'!C12)*365</f>
        <v>93.851071222315596</v>
      </c>
      <c r="E11" s="24">
        <f>('Financial Statements'!D51/'Financial Statements'!D12)*365</f>
        <v>91.048189715674198</v>
      </c>
      <c r="F11" s="1"/>
    </row>
    <row r="12" spans="1:10" x14ac:dyDescent="0.35">
      <c r="A12" s="18">
        <f t="shared" si="1"/>
        <v>1.8000000000000007</v>
      </c>
      <c r="B12" s="1" t="s">
        <v>106</v>
      </c>
      <c r="C12" s="24">
        <f t="shared" ref="C12:D12" si="2">C9+C10-C11</f>
        <v>26.087825363656648</v>
      </c>
      <c r="D12" s="24">
        <f t="shared" si="2"/>
        <v>26.219311841713207</v>
      </c>
      <c r="E12" s="24">
        <f>E9+E10-E11</f>
        <v>21.433437152796756</v>
      </c>
    </row>
    <row r="13" spans="1:10" x14ac:dyDescent="0.35">
      <c r="A13" s="18">
        <f t="shared" si="1"/>
        <v>1.9000000000000008</v>
      </c>
      <c r="B13" s="1" t="s">
        <v>107</v>
      </c>
      <c r="C13" s="26">
        <f>(G13/'Financial Statements'!B8)*100</f>
        <v>-4.7110527276784806</v>
      </c>
      <c r="D13" s="26">
        <f>(H13/'Financial Statements'!C8)*100</f>
        <v>2.5572895737486232</v>
      </c>
      <c r="E13" s="27">
        <f>(I13/'Financial Statements'!D8)*100</f>
        <v>13.959528623208204</v>
      </c>
      <c r="F13" s="23" t="s">
        <v>108</v>
      </c>
      <c r="G13">
        <f>'Financial Statements'!B42-'Financial Statements'!B56</f>
        <v>-18577</v>
      </c>
      <c r="H13">
        <f>'Financial Statements'!C42-'Financial Statements'!C56</f>
        <v>9355</v>
      </c>
      <c r="I13">
        <f>'Financial Statements'!D42-'Financial Statements'!D56</f>
        <v>38321</v>
      </c>
    </row>
    <row r="14" spans="1:10" x14ac:dyDescent="0.35">
      <c r="A14" s="18"/>
      <c r="B14" s="3" t="s">
        <v>108</v>
      </c>
      <c r="C14">
        <f t="shared" ref="C14:D14" si="3">G13</f>
        <v>-18577</v>
      </c>
      <c r="D14">
        <f t="shared" si="3"/>
        <v>9355</v>
      </c>
      <c r="E14">
        <f>I13</f>
        <v>38321</v>
      </c>
    </row>
    <row r="15" spans="1:10" x14ac:dyDescent="0.35">
      <c r="A15" s="18"/>
    </row>
    <row r="16" spans="1:10" x14ac:dyDescent="0.35">
      <c r="A16" s="18">
        <f>+A4+1</f>
        <v>2</v>
      </c>
      <c r="B16" s="17" t="s">
        <v>109</v>
      </c>
      <c r="C16" s="23"/>
      <c r="D16" s="23"/>
      <c r="E16" s="23"/>
    </row>
    <row r="17" spans="1:5" x14ac:dyDescent="0.35">
      <c r="A17" s="18">
        <f>+A16+0.1</f>
        <v>2.1</v>
      </c>
      <c r="B17" s="1" t="s">
        <v>9</v>
      </c>
      <c r="C17">
        <f>('Financial Statements'!B13/'Financial Statements'!B8)*100</f>
        <v>43.309630561360088</v>
      </c>
      <c r="D17">
        <f>('Financial Statements'!C13/'Financial Statements'!C8)*100</f>
        <v>41.779359625167778</v>
      </c>
      <c r="E17">
        <f>('Financial Statements'!D13/'Financial Statements'!D8)*100</f>
        <v>38.233247727810863</v>
      </c>
    </row>
    <row r="18" spans="1:5" x14ac:dyDescent="0.35">
      <c r="A18" s="18">
        <f>+A17+0.1</f>
        <v>2.2000000000000002</v>
      </c>
      <c r="B18" s="1" t="s">
        <v>110</v>
      </c>
      <c r="C18" s="25">
        <f>C19/'Financial Statements'!B8</f>
        <v>0.33746525734921184</v>
      </c>
      <c r="D18" s="25">
        <f>D19/'Financial Statements'!C8</f>
        <v>0.33672027270465832</v>
      </c>
      <c r="E18" s="25">
        <f>E19/'Financial Statements'!D8</f>
        <v>0.29560861883685774</v>
      </c>
    </row>
    <row r="19" spans="1:5" x14ac:dyDescent="0.35">
      <c r="A19" s="18"/>
      <c r="B19" s="3" t="s">
        <v>111</v>
      </c>
      <c r="C19">
        <f>'Financial Statements'!B22+'Financial Statements'!B21+'Financial Statements'!B114+'Financial Statements'!B79</f>
        <v>133072</v>
      </c>
      <c r="D19">
        <f>'Financial Statements'!C22+'Financial Statements'!C21+'Financial Statements'!C114+'Financial Statements'!C79</f>
        <v>123178</v>
      </c>
      <c r="E19">
        <f>'Financial Statements'!D22+'Financial Statements'!D21+'Financial Statements'!D114+'Financial Statements'!D79</f>
        <v>81149</v>
      </c>
    </row>
    <row r="20" spans="1:5" x14ac:dyDescent="0.35">
      <c r="A20" s="18">
        <f>+A18+0.1</f>
        <v>2.3000000000000003</v>
      </c>
      <c r="B20" s="1" t="s">
        <v>112</v>
      </c>
      <c r="C20" s="25">
        <f>C21/'Financial Statements'!B8</f>
        <v>0.30930595849140818</v>
      </c>
      <c r="D20" s="25">
        <f>D21/'Financial Statements'!C8</f>
        <v>0.30587424859970969</v>
      </c>
      <c r="E20" s="25">
        <f>E21/'Financial Statements'!D8</f>
        <v>0.25533395260732566</v>
      </c>
    </row>
    <row r="21" spans="1:5" x14ac:dyDescent="0.35">
      <c r="A21" s="18"/>
      <c r="B21" s="3" t="s">
        <v>113</v>
      </c>
      <c r="C21">
        <f>'Financial Statements'!B22+'Financial Statements'!B21+'Financial Statements'!B114</f>
        <v>121968</v>
      </c>
      <c r="D21">
        <f>'Financial Statements'!C22+'Financial Statements'!C21+'Financial Statements'!C114</f>
        <v>111894</v>
      </c>
      <c r="E21">
        <f>'Financial Statements'!D22+'Financial Statements'!D21+'Financial Statements'!D114</f>
        <v>70093</v>
      </c>
    </row>
    <row r="22" spans="1:5" x14ac:dyDescent="0.35">
      <c r="A22" s="18">
        <f>+A20+0.1</f>
        <v>2.4000000000000004</v>
      </c>
      <c r="B22" s="1" t="s">
        <v>114</v>
      </c>
      <c r="C22" s="25">
        <f>'Financial Statements'!B22/'Financial Statements'!B8</f>
        <v>0.25309640705199732</v>
      </c>
      <c r="D22" s="25">
        <f>'Financial Statements'!C22/'Financial Statements'!C8</f>
        <v>0.25881793355694238</v>
      </c>
      <c r="E22" s="25">
        <f>'Financial Statements'!D22/'Financial Statements'!D8</f>
        <v>0.20913611278072236</v>
      </c>
    </row>
    <row r="23" spans="1:5" x14ac:dyDescent="0.35">
      <c r="A23" s="18"/>
    </row>
    <row r="24" spans="1:5" x14ac:dyDescent="0.35">
      <c r="A24" s="18">
        <f>+A16+1</f>
        <v>3</v>
      </c>
      <c r="B24" s="7" t="s">
        <v>115</v>
      </c>
    </row>
    <row r="25" spans="1:5" x14ac:dyDescent="0.35">
      <c r="A25" s="18">
        <f>+A24+0.1</f>
        <v>3.1</v>
      </c>
      <c r="B25" s="1" t="s">
        <v>116</v>
      </c>
      <c r="C25" s="24">
        <f>'Financial Statements'!B62/'Financial Statements'!B68</f>
        <v>5.9615369434796337</v>
      </c>
      <c r="D25" s="24">
        <f>'Financial Statements'!C62/'Financial Statements'!C68</f>
        <v>4.5635124425423994</v>
      </c>
      <c r="E25" s="24">
        <f>'Financial Statements'!D62/'Financial Statements'!D68</f>
        <v>3.9570394404566951</v>
      </c>
    </row>
    <row r="26" spans="1:5" x14ac:dyDescent="0.35">
      <c r="A26" s="18">
        <f t="shared" ref="A26:A30" si="4">+A25+0.1</f>
        <v>3.2</v>
      </c>
      <c r="B26" s="1" t="s">
        <v>117</v>
      </c>
      <c r="C26" s="24">
        <f>'Financial Statements'!B62/'Financial Statements'!B48</f>
        <v>0.85635355983614692</v>
      </c>
      <c r="D26" s="24">
        <f>'Financial Statements'!C62/'Financial Statements'!C48</f>
        <v>0.82025743443057308</v>
      </c>
      <c r="E26" s="24">
        <f>'Financial Statements'!D62/'Financial Statements'!D48</f>
        <v>0.79826668477992391</v>
      </c>
    </row>
    <row r="27" spans="1:5" x14ac:dyDescent="0.35">
      <c r="A27" s="18">
        <f t="shared" si="4"/>
        <v>3.3000000000000003</v>
      </c>
      <c r="B27" s="1" t="s">
        <v>118</v>
      </c>
      <c r="C27" s="24">
        <f>'Financial Statements'!B59/('Financial Statements'!B59+'Financial Statements'!B68)</f>
        <v>0.66135359651409131</v>
      </c>
      <c r="D27" s="24">
        <f>'Financial Statements'!C59/('Financial Statements'!C59+'Financial Statements'!C68)</f>
        <v>0.63361518269878514</v>
      </c>
      <c r="E27" s="24">
        <f>'Financial Statements'!D59/('Financial Statements'!D59+'Financial Statements'!D68)</f>
        <v>0.60160603880345842</v>
      </c>
    </row>
    <row r="28" spans="1:5" x14ac:dyDescent="0.35">
      <c r="A28" s="18">
        <f t="shared" si="4"/>
        <v>3.4000000000000004</v>
      </c>
      <c r="B28" s="1" t="s">
        <v>119</v>
      </c>
      <c r="C28" s="24">
        <f>C21/'Financial Statements'!B114</f>
        <v>42.571727748691103</v>
      </c>
      <c r="D28" s="24">
        <f>D21/'Financial Statements'!C114</f>
        <v>41.642724227763303</v>
      </c>
      <c r="E28" s="24">
        <f>E21/'Financial Statements'!D114</f>
        <v>23.348767488341107</v>
      </c>
    </row>
    <row r="29" spans="1:5" x14ac:dyDescent="0.35">
      <c r="A29" s="18">
        <f t="shared" si="4"/>
        <v>3.5000000000000004</v>
      </c>
      <c r="B29" s="1" t="s">
        <v>120</v>
      </c>
      <c r="C29" s="24">
        <f>('Financial Statements'!B22+'Financial Statements'!B79)/'Financial Statements'!B59</f>
        <v>1.1207368708252914</v>
      </c>
      <c r="D29" s="24">
        <f>('Financial Statements'!C22+'Financial Statements'!C79)/'Financial Statements'!C59</f>
        <v>0.97120231701281323</v>
      </c>
      <c r="E29" s="24">
        <f>('Financial Statements'!D22+'Financial Statements'!D79)/('Financial Statements'!D59+'Financial Statements'!D55)</f>
        <v>0.63725800446760983</v>
      </c>
    </row>
    <row r="30" spans="1:5" x14ac:dyDescent="0.35">
      <c r="A30" s="18">
        <f t="shared" si="4"/>
        <v>3.6000000000000005</v>
      </c>
      <c r="B30" s="1" t="s">
        <v>121</v>
      </c>
      <c r="C30" s="24">
        <f>C36/'Financial Statements'!B29</f>
        <v>4.4816327652669603</v>
      </c>
    </row>
    <row r="31" spans="1:5" x14ac:dyDescent="0.35">
      <c r="A31" s="18"/>
      <c r="B31" s="11" t="s">
        <v>157</v>
      </c>
      <c r="C31" s="24">
        <f>'Financial Statements'!B22</f>
        <v>99803</v>
      </c>
    </row>
    <row r="32" spans="1:5" x14ac:dyDescent="0.35">
      <c r="A32" s="18"/>
      <c r="B32" s="11" t="s">
        <v>158</v>
      </c>
      <c r="C32" s="24">
        <f>'Financial Statements'!B79</f>
        <v>11104</v>
      </c>
    </row>
    <row r="33" spans="1:9" x14ac:dyDescent="0.35">
      <c r="A33" s="18"/>
      <c r="B33" s="11" t="s">
        <v>159</v>
      </c>
      <c r="C33" s="24">
        <f>('Financial Statements'!B42-'Financial Statements'!B56)-('Financial Statements'!C42-'Financial Statements'!C56)</f>
        <v>-27932</v>
      </c>
      <c r="F33" s="24"/>
    </row>
    <row r="34" spans="1:9" x14ac:dyDescent="0.35">
      <c r="A34" s="18"/>
      <c r="B34" s="11" t="s">
        <v>162</v>
      </c>
      <c r="C34" s="24">
        <f>'Financial Statements'!B96</f>
        <v>-10708</v>
      </c>
    </row>
    <row r="35" spans="1:9" x14ac:dyDescent="0.35">
      <c r="A35" s="18"/>
      <c r="B35" s="11" t="s">
        <v>160</v>
      </c>
      <c r="C35" s="24">
        <f>'Financial Statements'!B114*F61</f>
        <v>406.99110115671681</v>
      </c>
    </row>
    <row r="36" spans="1:9" x14ac:dyDescent="0.35">
      <c r="A36" s="18"/>
      <c r="B36" s="11" t="s">
        <v>161</v>
      </c>
      <c r="C36" s="24">
        <f>SUM(C31:C35)</f>
        <v>72673.991101156716</v>
      </c>
    </row>
    <row r="37" spans="1:9" x14ac:dyDescent="0.35">
      <c r="A37" s="18"/>
    </row>
    <row r="38" spans="1:9" x14ac:dyDescent="0.35">
      <c r="A38" s="18">
        <f>+A24+1</f>
        <v>4</v>
      </c>
      <c r="B38" s="17" t="s">
        <v>122</v>
      </c>
    </row>
    <row r="39" spans="1:9" x14ac:dyDescent="0.35">
      <c r="A39" s="18">
        <f>+A38+0.1</f>
        <v>4.0999999999999996</v>
      </c>
      <c r="B39" s="1" t="s">
        <v>123</v>
      </c>
      <c r="C39" s="24">
        <f>'Financial Statements'!B8/'Financial Statements'!B48</f>
        <v>1.1178523337727317</v>
      </c>
      <c r="D39" s="24">
        <f>'Financial Statements'!C8/'List of Ratios'!H39</f>
        <v>1.0396116841466585</v>
      </c>
      <c r="E39" s="24">
        <f>'Financial Statements'!D8/'List of Ratios'!I39</f>
        <v>0.81351034983478787</v>
      </c>
      <c r="F39" t="s">
        <v>150</v>
      </c>
      <c r="H39">
        <f>AVERAGE('Financial Statements'!B48:C48)</f>
        <v>351878.5</v>
      </c>
      <c r="I39">
        <f>AVERAGE('Financial Statements'!C48:D48)</f>
        <v>337445</v>
      </c>
    </row>
    <row r="40" spans="1:9" x14ac:dyDescent="0.35">
      <c r="A40" s="18">
        <f t="shared" ref="A40:A42" si="5">+A39+0.1</f>
        <v>4.1999999999999993</v>
      </c>
      <c r="B40" s="1" t="s">
        <v>124</v>
      </c>
      <c r="C40" s="24">
        <f>'Financial Statements'!B8/'Financial Statements'!B45</f>
        <v>9.3626801529073767</v>
      </c>
      <c r="D40" s="24">
        <f>'Financial Statements'!C8/'Financial Statements'!C45</f>
        <v>9.2752789046653152</v>
      </c>
      <c r="E40" s="24">
        <f>'Financial Statements'!D8/'Financial Statements'!D45</f>
        <v>7.4665451776097482</v>
      </c>
    </row>
    <row r="41" spans="1:9" x14ac:dyDescent="0.35">
      <c r="A41" s="18">
        <f t="shared" si="5"/>
        <v>4.2999999999999989</v>
      </c>
      <c r="B41" s="1" t="s">
        <v>125</v>
      </c>
      <c r="C41" s="24">
        <f>'Financial Statements'!B12/'Financial Statements'!B39</f>
        <v>45.197331176708452</v>
      </c>
      <c r="D41" s="24">
        <f>'Financial Statements'!C12/'List of Ratios'!H41</f>
        <v>36.95661981606802</v>
      </c>
      <c r="E41" s="24">
        <f>'Financial Statements'!D12/'List of Ratios'!I41</f>
        <v>31.868997274692227</v>
      </c>
      <c r="F41" t="s">
        <v>151</v>
      </c>
      <c r="H41">
        <f>AVERAGE('Financial Statements'!B39:C39)</f>
        <v>5763</v>
      </c>
      <c r="I41">
        <f>AVERAGE('Financial Statements'!C39:D39)</f>
        <v>5320.5</v>
      </c>
    </row>
    <row r="42" spans="1:9" x14ac:dyDescent="0.35">
      <c r="A42" s="18">
        <f t="shared" si="5"/>
        <v>4.3999999999999986</v>
      </c>
      <c r="B42" s="1" t="s">
        <v>126</v>
      </c>
      <c r="C42" s="25">
        <f>'Financial Statements'!B22/'Financial Statements'!B48</f>
        <v>0.28292440929256851</v>
      </c>
      <c r="D42" s="25">
        <f>'Financial Statements'!C22/'List of Ratios'!H39</f>
        <v>0.26907014779249089</v>
      </c>
      <c r="E42" s="25">
        <f>'Financial Statements'!D22/'List of Ratios'!I39</f>
        <v>0.17013439227133312</v>
      </c>
    </row>
    <row r="43" spans="1:9" x14ac:dyDescent="0.35">
      <c r="A43" s="18"/>
    </row>
    <row r="44" spans="1:9" x14ac:dyDescent="0.35">
      <c r="A44" s="18">
        <f>+A38+1</f>
        <v>5</v>
      </c>
      <c r="B44" s="17" t="s">
        <v>127</v>
      </c>
    </row>
    <row r="45" spans="1:9" x14ac:dyDescent="0.35">
      <c r="A45" s="18">
        <f>+A44+0.1</f>
        <v>5.0999999999999996</v>
      </c>
      <c r="B45" s="1" t="s">
        <v>128</v>
      </c>
      <c r="C45" s="24">
        <f>G45/'Financial Statements'!B25</f>
        <v>35.810147299509005</v>
      </c>
      <c r="F45" t="s">
        <v>152</v>
      </c>
      <c r="G45">
        <v>218.8</v>
      </c>
    </row>
    <row r="46" spans="1:9" x14ac:dyDescent="0.35">
      <c r="A46" s="18">
        <f t="shared" ref="A46:A49" si="6">+A45+0.1</f>
        <v>5.1999999999999993</v>
      </c>
      <c r="B46" s="3" t="s">
        <v>129</v>
      </c>
      <c r="C46">
        <f>'Financial Statements'!B25</f>
        <v>6.11</v>
      </c>
    </row>
    <row r="47" spans="1:9" x14ac:dyDescent="0.35">
      <c r="A47" s="18">
        <f t="shared" si="6"/>
        <v>5.2999999999999989</v>
      </c>
      <c r="B47" s="1" t="s">
        <v>130</v>
      </c>
      <c r="C47" s="24">
        <f>G45/G47</f>
        <v>70.019985483107035</v>
      </c>
      <c r="F47" t="s">
        <v>153</v>
      </c>
      <c r="G47" s="24">
        <f>'Financial Statements'!B68/16215.963</f>
        <v>3.1248221274308534</v>
      </c>
    </row>
    <row r="48" spans="1:9" x14ac:dyDescent="0.35">
      <c r="A48" s="18">
        <f t="shared" si="6"/>
        <v>5.3999999999999986</v>
      </c>
      <c r="B48" s="3" t="s">
        <v>131</v>
      </c>
      <c r="C48" s="24">
        <f>G47</f>
        <v>3.1248221274308534</v>
      </c>
    </row>
    <row r="49" spans="1:6" x14ac:dyDescent="0.35">
      <c r="A49" s="18">
        <f t="shared" si="6"/>
        <v>5.4999999999999982</v>
      </c>
      <c r="B49" s="1" t="s">
        <v>132</v>
      </c>
      <c r="C49" s="25">
        <f>-'Financial Statements'!B102/'Financial Statements'!B22</f>
        <v>0.14870294480125848</v>
      </c>
    </row>
    <row r="50" spans="1:6" x14ac:dyDescent="0.35">
      <c r="A50" s="18"/>
      <c r="B50" s="3" t="s">
        <v>133</v>
      </c>
      <c r="C50" s="24">
        <f>-'Financial Statements'!B102/'Financial Statements'!B29</f>
        <v>0.91520929099307891</v>
      </c>
    </row>
    <row r="51" spans="1:6" x14ac:dyDescent="0.35">
      <c r="A51" s="18">
        <f>+A49+0.1</f>
        <v>5.5999999999999979</v>
      </c>
      <c r="B51" s="1" t="s">
        <v>134</v>
      </c>
      <c r="C51" s="25">
        <f>C50/G45</f>
        <v>4.1828578198952419E-3</v>
      </c>
    </row>
    <row r="52" spans="1:6" x14ac:dyDescent="0.35">
      <c r="A52" s="18">
        <f t="shared" ref="A52:A55" si="7">+A50+0.1</f>
        <v>0.1</v>
      </c>
      <c r="B52" s="1" t="s">
        <v>135</v>
      </c>
      <c r="C52" s="24">
        <f>'Financial Statements'!B22/'Financial Statements'!B68</f>
        <v>1.9695887275023682</v>
      </c>
    </row>
    <row r="53" spans="1:6" x14ac:dyDescent="0.35">
      <c r="A53" s="18">
        <f t="shared" si="7"/>
        <v>5.6999999999999975</v>
      </c>
      <c r="B53" s="1" t="s">
        <v>136</v>
      </c>
      <c r="C53" s="24">
        <f>C21/('Financial Statements'!B48-'Financial Statements'!B56)</f>
        <v>0.61360446338285379</v>
      </c>
    </row>
    <row r="54" spans="1:6" x14ac:dyDescent="0.35">
      <c r="A54" s="18">
        <f t="shared" si="7"/>
        <v>0.2</v>
      </c>
      <c r="B54" s="1" t="s">
        <v>126</v>
      </c>
      <c r="C54" s="24">
        <f>'Financial Statements'!B22/'Financial Statements'!B48</f>
        <v>0.28292440929256851</v>
      </c>
    </row>
    <row r="55" spans="1:6" x14ac:dyDescent="0.35">
      <c r="A55" s="18">
        <f t="shared" si="7"/>
        <v>5.7999999999999972</v>
      </c>
      <c r="B55" s="1" t="s">
        <v>137</v>
      </c>
      <c r="C55" s="24">
        <f>C56/C19</f>
        <v>26.937873515089578</v>
      </c>
    </row>
    <row r="56" spans="1:6" x14ac:dyDescent="0.35">
      <c r="A56" s="18"/>
      <c r="B56" s="3" t="s">
        <v>138</v>
      </c>
      <c r="C56" s="24">
        <f>C57+C58-C59</f>
        <v>3584676.7044000002</v>
      </c>
    </row>
    <row r="57" spans="1:6" x14ac:dyDescent="0.35">
      <c r="B57" s="1" t="s">
        <v>154</v>
      </c>
      <c r="C57" s="24">
        <f>G45*'Financial Statements'!B29</f>
        <v>3548052.7044000002</v>
      </c>
    </row>
    <row r="58" spans="1:6" x14ac:dyDescent="0.35">
      <c r="B58" s="1" t="s">
        <v>155</v>
      </c>
      <c r="C58">
        <f>'Financial Statements'!B60+'Financial Statements'!B55</f>
        <v>60270</v>
      </c>
    </row>
    <row r="59" spans="1:6" x14ac:dyDescent="0.35">
      <c r="B59" s="1" t="s">
        <v>156</v>
      </c>
      <c r="C59">
        <f>'Financial Statements'!B36</f>
        <v>23646</v>
      </c>
    </row>
    <row r="61" spans="1:6" x14ac:dyDescent="0.35">
      <c r="B61" s="1" t="s">
        <v>163</v>
      </c>
      <c r="C61" s="25">
        <f>'Financial Statements'!B21/(C21)</f>
        <v>0.15823822642004459</v>
      </c>
      <c r="D61" s="25">
        <f>'Financial Statements'!C21/(D21)</f>
        <v>0.12982823028938101</v>
      </c>
      <c r="E61" s="25">
        <f>'Financial Statements'!D21/(E21)</f>
        <v>0.1381022356012726</v>
      </c>
      <c r="F61" s="30">
        <f>AVERAGE(C61:E61)</f>
        <v>0.14205623077023274</v>
      </c>
    </row>
  </sheetData>
  <mergeCells count="1">
    <mergeCell ref="C2:E2"/>
  </mergeCells>
  <pageMargins left="0.7" right="0.7" top="0.75" bottom="0.75" header="0.3" footer="0.3"/>
  <ignoredErrors>
    <ignoredError sqref="C10:E10 C19:E19" formula="1"/>
    <ignoredError sqref="H41:I41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Anurag Shandil</cp:lastModifiedBy>
  <dcterms:created xsi:type="dcterms:W3CDTF">2020-05-18T16:32:37Z</dcterms:created>
  <dcterms:modified xsi:type="dcterms:W3CDTF">2024-08-01T09:53:12Z</dcterms:modified>
</cp:coreProperties>
</file>